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A162D07E-37A9-455C-AA67-5AAECCA664DB}" xr6:coauthVersionLast="47" xr6:coauthVersionMax="47" xr10:uidLastSave="{00000000-0000-0000-0000-000000000000}"/>
  <bookViews>
    <workbookView xWindow="28680" yWindow="-120" windowWidth="29040" windowHeight="15720"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AES!$B$2:$DJ$47</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41" i="1" l="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Q45" i="2"/>
  <c r="AQ46" i="2"/>
  <c r="AQ47"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J20" i="2"/>
  <c r="AJ21" i="2"/>
  <c r="AJ22" i="2"/>
  <c r="AJ23" i="2"/>
  <c r="AJ19"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AQ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AV45" i="2"/>
  <c r="AV46" i="2"/>
  <c r="AV47"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A45" i="2"/>
  <c r="BA46" i="2"/>
  <c r="BA47"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K46" i="2"/>
  <c r="BK47" i="2"/>
  <c r="AB23" i="2"/>
  <c r="R23"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B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BK45" i="1"/>
  <c r="BF45" i="1"/>
  <c r="BA45" i="1"/>
  <c r="AV45" i="1"/>
  <c r="AQ45" i="1"/>
  <c r="AL45" i="1"/>
  <c r="AB22" i="2"/>
  <c r="R22" i="2"/>
  <c r="AB21" i="2"/>
  <c r="R21" i="2"/>
  <c r="AB20" i="2"/>
  <c r="R20"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9" i="2" l="1"/>
  <c r="R19"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7" i="2"/>
  <c r="AB47" i="2"/>
  <c r="R47" i="2"/>
  <c r="AJ46" i="2"/>
  <c r="AB46" i="2"/>
  <c r="R46" i="2"/>
  <c r="AJ45" i="2"/>
  <c r="AB45" i="2"/>
  <c r="R45" i="2"/>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18" i="2"/>
  <c r="AB18" i="2"/>
  <c r="R18" i="2"/>
  <c r="AJ17" i="2"/>
  <c r="AB17" i="2"/>
  <c r="R17" i="2"/>
  <c r="AJ16" i="2"/>
  <c r="AB16" i="2"/>
  <c r="R16"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<sst xmlns="http://schemas.openxmlformats.org/spreadsheetml/2006/main" count="17477" uniqueCount="2233">
  <si>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</si>
  <si>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</si>
  <si>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</si>
  <si>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</si>
  <si>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</si>
  <si>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</si>
  <si>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</si>
  <si>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</si>
  <si>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</si>
  <si>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</si>
  <si>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</si>
  <si>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</si>
  <si>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</si>
  <si>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</si>
  <si>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</si>
  <si>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</si>
  <si>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</si>
  <si>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</si>
  <si>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</si>
  <si>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</si>
  <si>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</si>
  <si>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</si>
  <si>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</si>
  <si>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</si>
  <si>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</si>
  <si>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</si>
  <si>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</si>
  <si>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</si>
  <si>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</si>
  <si>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</si>
  <si>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</si>
  <si>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</si>
  <si>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</si>
  <si>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</si>
  <si>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</si>
  <si>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</si>
  <si>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</si>
  <si>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</si>
  <si>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</si>
  <si>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</si>
  <si>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</si>
  <si>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</si>
  <si>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</si>
  <si>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</si>
  <si>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</si>
  <si>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</si>
  <si>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</si>
  <si>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</si>
  <si>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</si>
  <si>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</si>
  <si>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</si>
  <si>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</si>
  <si>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</si>
  <si>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</si>
  <si>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</si>
  <si>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</si>
  <si>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</si>
  <si>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</si>
  <si>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</si>
  <si>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</si>
  <si>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</si>
  <si>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</si>
  <si>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</si>
  <si>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</si>
  <si>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</si>
  <si>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</si>
  <si>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</si>
  <si>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</si>
  <si>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</si>
  <si>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</si>
  <si>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</si>
  <si>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</si>
  <si>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</si>
  <si>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</si>
  <si>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</si>
  <si>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</si>
  <si>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</si>
  <si>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</si>
  <si>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</si>
  <si>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</si>
  <si>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</si>
  <si>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</si>
  <si>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</si>
  <si>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</si>
  <si>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</si>
  <si>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</si>
  <si>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</si>
  <si>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</si>
  <si>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</si>
  <si>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</si>
  <si>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</si>
  <si>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</si>
  <si>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</si>
  <si>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</si>
  <si>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</si>
  <si>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</si>
  <si>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</si>
  <si>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</si>
  <si>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</si>
  <si>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</si>
  <si>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</si>
  <si>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</si>
  <si>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</si>
  <si>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</si>
  <si>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</si>
  <si>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</si>
  <si>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</si>
  <si>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</si>
  <si>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</si>
  <si>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</si>
  <si>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</si>
  <si>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</si>
  <si>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</si>
  <si>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</si>
  <si>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</si>
  <si>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</si>
  <si>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</si>
  <si>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</si>
  <si>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</si>
  <si>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</si>
  <si>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</si>
  <si>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</si>
  <si>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</si>
  <si>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</si>
  <si>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</si>
  <si>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</si>
  <si>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</si>
  <si>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</si>
  <si>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</si>
  <si>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</si>
  <si>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</si>
  <si>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</si>
  <si>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</si>
  <si>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</si>
  <si>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</si>
  <si>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</si>
  <si>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</si>
  <si>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</si>
  <si>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</si>
  <si>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</si>
  <si>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</si>
  <si>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</si>
  <si>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</si>
  <si>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</si>
  <si>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</si>
  <si>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</si>
  <si>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</si>
  <si>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</si>
  <si>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</si>
  <si>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</si>
  <si>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</si>
  <si>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</si>
  <si>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</si>
  <si>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</si>
  <si>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</si>
  <si>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</si>
  <si>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</si>
  <si>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</si>
  <si>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</si>
  <si>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</si>
  <si>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</si>
  <si>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</si>
  <si>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</si>
  <si>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</si>
  <si>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</si>
  <si>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</si>
  <si>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</si>
  <si>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</si>
  <si>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</si>
  <si>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</si>
  <si>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</si>
  <si>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</si>
  <si>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</si>
  <si>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</si>
  <si>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</si>
  <si>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</si>
  <si>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</si>
  <si>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</si>
  <si>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</si>
  <si>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</si>
  <si>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</si>
  <si>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</si>
  <si>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</si>
  <si>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</si>
  <si>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</si>
  <si>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</si>
  <si>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</si>
  <si>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</si>
  <si>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</si>
  <si>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</si>
  <si>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</si>
  <si>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</si>
  <si>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</si>
  <si>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</si>
  <si>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</si>
  <si>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</si>
  <si>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</si>
  <si>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</si>
  <si>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</si>
  <si>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</si>
  <si>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</si>
  <si>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</si>
  <si>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</si>
  <si>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</si>
  <si>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</si>
  <si>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</si>
  <si>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</si>
  <si>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</si>
  <si>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</si>
  <si>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</si>
  <si>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</si>
  <si>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</si>
  <si>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</si>
  <si>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</si>
  <si>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</si>
  <si>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</si>
  <si>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</si>
  <si>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</si>
  <si>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</si>
  <si>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</si>
  <si>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</si>
  <si>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</si>
  <si>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</si>
  <si>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</si>
  <si>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</si>
  <si>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</si>
  <si>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</si>
  <si>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</si>
  <si>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</si>
  <si>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</si>
  <si>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</si>
  <si>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</si>
  <si>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</si>
  <si>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</si>
  <si>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</si>
  <si>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</si>
  <si>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</si>
  <si>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</si>
  <si>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</si>
  <si>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</si>
  <si>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</si>
  <si>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</si>
  <si>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</si>
  <si>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</si>
  <si>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</si>
  <si>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</si>
  <si>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</si>
  <si>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</si>
  <si>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</si>
  <si>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</si>
  <si>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</si>
  <si>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</si>
  <si>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</si>
  <si>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</si>
  <si>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</si>
  <si>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</si>
  <si>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</si>
  <si>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</si>
  <si>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</si>
  <si>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</si>
  <si>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</si>
  <si>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</si>
  <si>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</si>
  <si>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</si>
  <si>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</si>
  <si>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</si>
  <si>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</si>
  <si>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</si>
  <si>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</si>
  <si>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</si>
  <si>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</si>
  <si>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</si>
  <si>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</si>
  <si>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</si>
  <si>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</si>
  <si>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</si>
  <si>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</si>
  <si>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</si>
  <si>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</si>
  <si>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</si>
  <si>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</si>
  <si>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</si>
  <si>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</si>
  <si>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</si>
  <si>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</si>
  <si>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</si>
  <si>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</si>
  <si>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</si>
  <si>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</si>
  <si>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</si>
  <si>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</si>
  <si>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</si>
  <si>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</si>
  <si>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</si>
  <si>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</si>
  <si>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</si>
  <si>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</si>
  <si>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</si>
  <si>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</si>
  <si>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</si>
  <si>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</si>
  <si>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</si>
  <si>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</si>
  <si>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</si>
  <si>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</si>
  <si>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</si>
  <si>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</si>
  <si>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</si>
  <si>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</si>
  <si>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</si>
  <si>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</si>
  <si>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</si>
  <si>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</si>
  <si>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</si>
  <si>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</si>
  <si>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</si>
  <si>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</si>
  <si>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</si>
  <si>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</si>
  <si>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</si>
  <si>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</si>
  <si>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</si>
  <si>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</si>
  <si>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</si>
  <si>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</si>
  <si>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</si>
  <si>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</si>
  <si>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</si>
  <si>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</si>
  <si>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</si>
  <si>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</si>
  <si>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</si>
  <si>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</si>
  <si>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</si>
  <si>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</si>
  <si>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</si>
  <si>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</si>
  <si>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</si>
  <si>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</si>
  <si>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</si>
  <si>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</si>
  <si>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</si>
  <si>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</si>
  <si>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</si>
  <si>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</si>
  <si>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</si>
  <si>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</si>
  <si>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</si>
  <si>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</si>
  <si>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</si>
  <si>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</si>
  <si>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</si>
  <si>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</si>
  <si>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Virtual</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</si>
  <si>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</si>
  <si>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</si>
  <si>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</si>
  <si>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</si>
  <si>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</si>
  <si>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</si>
  <si>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</si>
  <si>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</si>
  <si>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</si>
  <si>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</si>
  <si>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</si>
  <si>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</si>
  <si>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</si>
  <si>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</si>
  <si>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</si>
  <si>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</si>
  <si>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</si>
  <si>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</si>
  <si>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</si>
  <si>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</si>
  <si>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</si>
  <si>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</si>
  <si>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</si>
  <si>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</si>
  <si>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</si>
  <si>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</si>
  <si>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</si>
  <si>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</si>
  <si>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</si>
  <si>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</si>
  <si>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</si>
  <si>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</si>
  <si>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</si>
  <si>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</si>
  <si>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</si>
  <si>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</si>
  <si>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</si>
  <si>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</si>
  <si>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</si>
  <si>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</si>
  <si>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</si>
  <si>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</si>
  <si>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</si>
  <si>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</si>
  <si>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</si>
  <si>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</si>
  <si>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</si>
  <si>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</si>
  <si>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</si>
  <si>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</si>
  <si>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</si>
  <si>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</si>
  <si>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</si>
  <si>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</si>
  <si>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</si>
  <si>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</si>
  <si>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</si>
  <si>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</si>
  <si>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</si>
  <si>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</si>
  <si>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</si>
  <si>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</si>
  <si>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</si>
  <si>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</si>
  <si>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</si>
  <si>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</si>
  <si>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</si>
  <si>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</si>
  <si>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</si>
  <si>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</si>
  <si>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</si>
  <si>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</si>
  <si>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</si>
  <si>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</si>
  <si>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</si>
  <si>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</si>
  <si>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</si>
  <si>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</si>
  <si>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</si>
  <si>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</si>
  <si>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</si>
  <si>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</si>
  <si>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</si>
  <si>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</si>
  <si>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</si>
  <si>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</si>
  <si>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CHAN</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</si>
  <si>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</si>
  <si>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</si>
  <si>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</si>
  <si>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</si>
  <si>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</si>
  <si>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</si>
  <si>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</si>
  <si>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</si>
  <si>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</si>
  <si>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</si>
  <si>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</si>
  <si>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</si>
  <si>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</si>
  <si>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</si>
  <si>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</si>
  <si>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</si>
  <si>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</si>
  <si>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</si>
  <si>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</si>
  <si>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</si>
  <si>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</si>
  <si>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</si>
  <si>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</si>
  <si>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</si>
  <si>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</si>
  <si>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</si>
  <si>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</si>
  <si>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</si>
  <si>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</si>
  <si>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</si>
  <si>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</si>
  <si>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</si>
  <si>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</si>
  <si>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</si>
  <si>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</si>
  <si>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</si>
  <si>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</si>
  <si>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</si>
  <si>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</si>
  <si>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</si>
  <si>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</si>
  <si>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</si>
  <si>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</si>
  <si>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</si>
  <si>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</si>
  <si>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</si>
  <si>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</si>
  <si>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</si>
  <si>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</si>
  <si>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</si>
  <si>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</si>
  <si>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</si>
  <si>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</si>
  <si>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</si>
  <si>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</si>
  <si>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</si>
  <si>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</si>
  <si>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</si>
  <si>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</si>
  <si>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</si>
  <si>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</si>
  <si>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</si>
  <si>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</si>
  <si>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</si>
  <si>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</si>
  <si>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</si>
  <si>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</si>
  <si>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</si>
  <si>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</si>
  <si>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</si>
  <si>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</si>
  <si>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</si>
  <si>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</si>
  <si>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</si>
  <si>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</si>
  <si>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</si>
  <si>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</si>
  <si>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</si>
  <si>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</si>
  <si>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</si>
  <si>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</si>
  <si>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</si>
  <si>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</si>
  <si>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</si>
  <si>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</si>
  <si>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</si>
  <si>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</si>
  <si>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</si>
  <si>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</si>
  <si>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</si>
  <si>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</si>
  <si>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</si>
  <si>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</si>
  <si>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</si>
  <si>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</si>
  <si>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</si>
  <si>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</si>
  <si>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</si>
  <si>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</si>
  <si>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</si>
  <si>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</si>
  <si>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</si>
  <si>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</si>
  <si>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</si>
  <si>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</si>
  <si>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</si>
  <si>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</si>
  <si>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</si>
  <si>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</si>
  <si>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</si>
  <si>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</si>
  <si>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</si>
  <si>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</si>
  <si>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</si>
  <si>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</si>
  <si>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</si>
  <si>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</si>
  <si>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</si>
  <si>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</si>
  <si>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</si>
  <si>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</si>
  <si>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</si>
  <si>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</si>
  <si>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</si>
  <si>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</si>
  <si>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</si>
  <si>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</si>
  <si>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</si>
  <si>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</si>
  <si>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</si>
  <si>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</si>
  <si>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</si>
  <si>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</si>
  <si>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</si>
  <si>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</si>
  <si>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</si>
  <si>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</si>
  <si>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</si>
  <si>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</si>
  <si>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</si>
  <si>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</si>
  <si>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</si>
  <si>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</si>
  <si>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</si>
  <si>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</si>
  <si>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</si>
  <si>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</si>
  <si>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</si>
  <si>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</si>
  <si>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</si>
  <si>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</si>
  <si>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</si>
  <si>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</si>
  <si>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</si>
  <si>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</si>
  <si>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</si>
  <si>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</si>
  <si>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</si>
  <si>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</si>
  <si>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</si>
  <si>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</si>
  <si>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</si>
  <si>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</si>
  <si>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</si>
  <si>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</si>
  <si>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</si>
  <si>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</si>
  <si>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</si>
  <si>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</si>
  <si>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</si>
  <si>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</si>
  <si>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</si>
  <si>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</si>
  <si>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</si>
  <si>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</si>
  <si>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</si>
  <si>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</si>
  <si>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</si>
  <si>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</si>
  <si>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</si>
  <si>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</si>
  <si>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</si>
  <si>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</si>
  <si>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</si>
  <si>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</si>
  <si>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</si>
  <si>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</si>
  <si>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</si>
  <si>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</si>
  <si>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TBC</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</si>
  <si>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</si>
  <si>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</si>
  <si>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</si>
  <si>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</si>
  <si>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</si>
  <si>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</si>
  <si>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</si>
  <si>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</si>
  <si>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</si>
  <si>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</si>
  <si>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</si>
  <si>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</si>
  <si>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</si>
  <si>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</si>
  <si>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</si>
  <si>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</si>
  <si>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</si>
  <si>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</si>
  <si>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</si>
  <si>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</si>
  <si>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</si>
  <si>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</si>
  <si>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</si>
  <si>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</si>
  <si>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</si>
  <si>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</si>
  <si>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</si>
  <si>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</si>
  <si>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</si>
  <si>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</si>
  <si>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</si>
  <si>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</si>
  <si>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</si>
  <si>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</si>
  <si>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</si>
  <si>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</si>
  <si>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</si>
  <si>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</si>
  <si>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</si>
  <si>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</si>
  <si>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</si>
  <si>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</si>
  <si>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</si>
  <si>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</si>
  <si>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</si>
  <si>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</si>
  <si>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</si>
  <si>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</si>
  <si>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</si>
  <si>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</si>
  <si>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</si>
  <si>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</si>
  <si>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</si>
  <si>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</si>
  <si>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</si>
  <si>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</si>
  <si>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</si>
  <si>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</si>
  <si>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</si>
  <si>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</si>
  <si>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</si>
  <si>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</si>
  <si>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</si>
  <si>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</si>
  <si>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</si>
  <si>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</si>
  <si>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</si>
  <si>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</si>
  <si>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</si>
  <si>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</si>
  <si>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</si>
  <si>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</si>
  <si>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</si>
  <si>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</si>
  <si>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</si>
  <si>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</si>
  <si>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</si>
  <si>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</si>
  <si>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</si>
  <si>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</si>
  <si>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</si>
  <si>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</si>
  <si>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</si>
  <si>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</si>
  <si>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</si>
  <si>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</si>
  <si>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</si>
  <si>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</si>
  <si>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</si>
  <si>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</si>
  <si>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</si>
  <si>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</si>
  <si>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</si>
  <si>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</si>
  <si>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</si>
  <si>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</si>
  <si>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</si>
  <si>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</si>
  <si>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</si>
  <si>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</si>
  <si>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</si>
  <si>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</si>
  <si>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</si>
  <si>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</si>
  <si>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</si>
  <si>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</si>
  <si>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</si>
  <si>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</si>
  <si>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</si>
  <si>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</si>
  <si>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</si>
  <si>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</si>
  <si>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</si>
  <si>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</si>
  <si>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</si>
  <si>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</si>
  <si>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</si>
  <si>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</si>
  <si>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</si>
  <si>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</si>
  <si>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</si>
  <si>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</si>
  <si>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</si>
  <si>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</si>
  <si>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</si>
  <si>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</si>
  <si>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</si>
  <si>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</si>
  <si>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</si>
  <si>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</si>
  <si>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</si>
  <si>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</si>
  <si>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</si>
  <si>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</si>
  <si>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</si>
  <si>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</si>
  <si>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</si>
  <si>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</si>
  <si>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</si>
  <si>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</si>
  <si>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</si>
  <si>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</si>
  <si>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</si>
  <si>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</si>
  <si>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</si>
  <si>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</si>
  <si>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</si>
  <si>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</si>
  <si>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</si>
  <si>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</si>
  <si>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</si>
  <si>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</si>
  <si>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</si>
  <si>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</si>
  <si>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</si>
  <si>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</si>
  <si>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</si>
  <si>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</si>
  <si>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</si>
  <si>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</si>
  <si>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</si>
  <si>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</si>
  <si>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</si>
  <si>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</si>
  <si>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</si>
  <si>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</si>
  <si>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</si>
  <si>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</si>
  <si>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</si>
  <si>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</si>
  <si>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</si>
  <si>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</si>
  <si>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</si>
  <si>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</si>
  <si>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</si>
  <si>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</si>
  <si>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</si>
  <si>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</si>
  <si>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</si>
  <si>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</si>
  <si>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</si>
  <si>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</si>
  <si>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</si>
  <si>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</si>
  <si>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</si>
  <si>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</si>
  <si>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</si>
  <si>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</si>
  <si>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</si>
  <si>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</si>
  <si>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</si>
  <si>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</si>
  <si>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</si>
  <si>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</si>
  <si>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</si>
  <si>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</si>
  <si>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</si>
  <si>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</si>
  <si>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</si>
  <si>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</si>
  <si>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</si>
  <si>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</si>
  <si>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</si>
  <si>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</si>
  <si>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</si>
  <si>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</si>
  <si>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</si>
  <si>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</si>
  <si>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</si>
  <si>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</si>
  <si>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</si>
  <si>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</si>
  <si>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</si>
  <si>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</si>
  <si>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</si>
  <si>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</si>
  <si>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</si>
  <si>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</si>
  <si>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</si>
  <si>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</si>
  <si>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</si>
  <si>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</si>
  <si>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</si>
  <si>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</si>
  <si>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</si>
  <si>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</si>
  <si>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</si>
  <si>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</si>
  <si>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</si>
  <si>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</si>
  <si>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</si>
  <si>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</si>
  <si>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</si>
  <si>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</si>
  <si>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</si>
  <si>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</si>
  <si>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</si>
  <si>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</si>
  <si>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</si>
  <si>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</si>
  <si>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</si>
  <si>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</si>
  <si>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</si>
  <si>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</si>
  <si>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</si>
  <si>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</si>
  <si>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</si>
  <si>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</si>
  <si>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</si>
  <si>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</si>
  <si>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</si>
  <si>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</si>
  <si>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</si>
  <si>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</si>
  <si>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</si>
  <si>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</si>
  <si>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</si>
  <si>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</si>
  <si>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</si>
  <si>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</si>
  <si>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</si>
  <si>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</si>
  <si>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</si>
  <si>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</si>
  <si>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</si>
  <si>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</si>
  <si>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</si>
  <si>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</si>
  <si>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</si>
  <si>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</si>
  <si>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</si>
  <si>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</si>
  <si>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</si>
  <si>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</si>
  <si>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</si>
  <si>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</si>
  <si>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</si>
  <si>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</si>
  <si>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</si>
  <si>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</si>
  <si>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</si>
  <si>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</si>
  <si>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</si>
  <si>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</si>
  <si>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</si>
  <si>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</si>
  <si>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</si>
  <si>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</si>
  <si>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</si>
  <si>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</si>
  <si>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</si>
  <si>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</si>
  <si>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</si>
  <si>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</si>
  <si>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</si>
  <si>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</si>
  <si>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</si>
  <si>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</si>
  <si>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</si>
  <si>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</si>
  <si>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</si>
  <si>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</si>
  <si>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</si>
  <si>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</si>
  <si>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</si>
  <si>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</si>
  <si>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</si>
  <si>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</si>
  <si>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</si>
  <si>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</si>
  <si>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</si>
  <si>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</si>
  <si>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</si>
  <si>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WONG</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</si>
  <si>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</si>
  <si>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</si>
  <si>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</si>
  <si>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</si>
  <si>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</si>
  <si>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</si>
  <si>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</si>
  <si>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</si>
  <si>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</si>
  <si>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</si>
  <si>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</si>
  <si>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</si>
  <si>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</si>
  <si>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</si>
  <si>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</si>
  <si>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</si>
  <si>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</si>
  <si>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</si>
  <si>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</si>
  <si>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</si>
  <si>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</si>
  <si>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</si>
  <si>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</si>
  <si>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</si>
  <si>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</si>
  <si>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</si>
  <si>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</si>
  <si>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</si>
  <si>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</si>
  <si>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</si>
  <si>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</si>
  <si>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</si>
  <si>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</si>
  <si>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</si>
  <si>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</si>
  <si>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</si>
  <si>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</si>
  <si>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</si>
  <si>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</si>
  <si>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</si>
  <si>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</si>
  <si>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</si>
  <si>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</si>
  <si>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</si>
  <si>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</si>
  <si>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</si>
  <si>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</si>
  <si>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</si>
  <si>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</si>
  <si>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</si>
  <si>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</si>
  <si>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</si>
  <si>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</si>
  <si>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</si>
  <si>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</si>
  <si>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</si>
  <si>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</si>
  <si>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</si>
  <si>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</si>
  <si>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</si>
  <si>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</si>
  <si>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</si>
  <si>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</si>
  <si>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</si>
  <si>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</si>
  <si>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</si>
  <si>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</si>
  <si>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</si>
  <si>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</si>
  <si>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</si>
  <si>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</si>
  <si>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</si>
  <si>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</si>
  <si>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</si>
  <si>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</si>
  <si>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</si>
  <si>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</si>
  <si>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</si>
  <si>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</si>
  <si>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</si>
  <si>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</si>
  <si>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</si>
  <si>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</si>
  <si>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</si>
  <si>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</si>
  <si>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</si>
  <si>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</si>
  <si>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</si>
  <si>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</si>
  <si>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</si>
  <si>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</si>
  <si>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</si>
  <si>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</si>
  <si>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</si>
  <si>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</si>
  <si>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</si>
  <si>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</si>
  <si>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</si>
  <si>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</si>
  <si>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</si>
  <si>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</si>
  <si>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</si>
  <si>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</si>
  <si>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</si>
  <si>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</si>
  <si>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</si>
  <si>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</si>
  <si>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</si>
  <si>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</si>
  <si>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</si>
  <si>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</si>
  <si>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</si>
  <si>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</si>
  <si>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</si>
  <si>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</si>
  <si>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</si>
  <si>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</si>
  <si>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</si>
  <si>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</si>
  <si>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</si>
  <si>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</si>
  <si>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</si>
  <si>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</si>
  <si>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</si>
  <si>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</si>
  <si>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</si>
  <si>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</si>
  <si>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</si>
  <si>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</si>
  <si>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</si>
  <si>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</si>
  <si>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</si>
  <si>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</si>
  <si>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</si>
  <si>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</si>
  <si>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</si>
  <si>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</si>
  <si>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</si>
  <si>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</si>
  <si>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</si>
  <si>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</si>
  <si>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</si>
  <si>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</si>
  <si>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</si>
  <si>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</si>
  <si>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</si>
  <si>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</si>
  <si>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</si>
  <si>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</si>
  <si>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</si>
  <si>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</si>
  <si>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</si>
  <si>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</si>
  <si>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</si>
  <si>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</si>
  <si>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</si>
  <si>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</si>
  <si>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</si>
  <si>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</si>
  <si>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</si>
  <si>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</si>
  <si>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</si>
  <si>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</si>
  <si>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</si>
  <si>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</si>
  <si>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</si>
  <si>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</si>
  <si>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</si>
  <si>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</si>
  <si>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</si>
  <si>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</si>
  <si>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</si>
  <si>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</si>
  <si>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</si>
  <si>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</si>
  <si>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</si>
  <si>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</si>
  <si>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</si>
  <si>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</si>
  <si>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</si>
  <si>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</si>
  <si>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</si>
  <si>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</si>
  <si>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</si>
  <si>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</si>
  <si>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</si>
  <si>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</si>
  <si>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</si>
  <si>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</si>
  <si>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</si>
  <si>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</si>
  <si>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</si>
  <si>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</si>
  <si>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</si>
  <si>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</si>
  <si>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</si>
  <si>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</si>
  <si>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</si>
  <si>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</si>
  <si>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</si>
  <si>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</si>
  <si>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</si>
  <si>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</si>
  <si>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</si>
  <si>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</si>
  <si>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</si>
  <si>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</si>
  <si>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</si>
  <si>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</si>
  <si>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</si>
  <si>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</si>
  <si>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</si>
  <si>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</si>
  <si>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</si>
  <si>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</si>
  <si>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</si>
  <si>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</si>
  <si>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</si>
  <si>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</si>
  <si>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</si>
  <si>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</si>
  <si>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</si>
  <si>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</si>
  <si>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</si>
  <si>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</si>
  <si>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</si>
  <si>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</si>
  <si>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</si>
  <si>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</si>
  <si>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</si>
  <si>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</si>
  <si>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</si>
  <si>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</si>
  <si>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</si>
  <si>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</si>
  <si>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</si>
  <si>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</si>
  <si>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</si>
  <si>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</si>
  <si>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</si>
  <si>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</si>
  <si>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</si>
  <si>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</si>
  <si>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</si>
  <si>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</si>
  <si>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</si>
  <si>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</si>
  <si>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</si>
  <si>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</si>
  <si>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</si>
  <si>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</si>
  <si>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</si>
  <si>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</si>
  <si>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</si>
  <si>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</si>
  <si>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</si>
  <si>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</si>
  <si>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</si>
  <si>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</si>
  <si>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</si>
  <si>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</si>
  <si>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</si>
  <si>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</si>
  <si>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</si>
  <si>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</si>
  <si>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</si>
  <si>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</si>
  <si>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</si>
  <si>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</si>
  <si>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</si>
  <si>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</si>
  <si>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</si>
  <si>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</si>
  <si>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</si>
  <si>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</si>
  <si>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</si>
  <si>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</si>
  <si>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</si>
  <si>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</si>
  <si>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</si>
  <si>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</si>
  <si>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</si>
  <si>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</si>
  <si>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</si>
  <si>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</si>
  <si>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</si>
  <si>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</si>
  <si>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</si>
  <si>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</si>
  <si>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</si>
  <si>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</si>
  <si>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</si>
  <si>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</si>
  <si>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</si>
  <si>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</si>
  <si>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</si>
  <si>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</si>
  <si>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</si>
  <si>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</si>
  <si>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</si>
  <si>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</si>
  <si>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</si>
  <si>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</si>
  <si>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</si>
  <si>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</si>
  <si>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</si>
  <si>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</si>
  <si>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</si>
  <si>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</si>
  <si>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</si>
  <si>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</si>
  <si>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</si>
  <si>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</si>
  <si>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</si>
  <si>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</si>
  <si>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</si>
  <si>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</si>
  <si>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</si>
  <si>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</si>
  <si>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</si>
  <si>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</si>
  <si>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</si>
  <si>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</si>
  <si>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</si>
  <si>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</si>
  <si>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</si>
  <si>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</si>
  <si>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</si>
  <si>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</si>
  <si>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</si>
  <si>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</si>
  <si>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</si>
  <si>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</si>
  <si>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</si>
  <si>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</si>
  <si>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</si>
  <si>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</si>
  <si>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</si>
  <si>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</si>
  <si>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</si>
  <si>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</si>
  <si>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</si>
  <si>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</si>
  <si>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</si>
  <si>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</si>
  <si>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</si>
  <si>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</si>
  <si>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</si>
  <si>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</si>
  <si>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</si>
  <si>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</si>
  <si>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</si>
  <si>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</si>
  <si>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</si>
  <si>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</si>
  <si>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</si>
  <si>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</si>
  <si>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</si>
  <si>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</si>
  <si>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</si>
  <si>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</si>
  <si>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</si>
  <si>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</si>
  <si>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</si>
  <si>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</si>
  <si>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</si>
  <si>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</si>
  <si>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</si>
  <si>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</si>
  <si>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</si>
  <si>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</si>
  <si>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</si>
  <si>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</si>
  <si>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</si>
  <si>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</si>
  <si>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</si>
  <si>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</si>
  <si>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</si>
  <si>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</si>
  <si>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</si>
  <si>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</si>
  <si>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</si>
  <si>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</si>
  <si>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</si>
  <si>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</si>
  <si>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</si>
  <si>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</si>
  <si>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</si>
  <si>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</si>
  <si>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</si>
  <si>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</si>
  <si>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</si>
  <si>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</si>
  <si>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</si>
  <si>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</si>
  <si>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</si>
  <si>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</si>
  <si>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</si>
  <si>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</si>
  <si>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</si>
  <si>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</si>
  <si>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</si>
  <si>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</si>
  <si>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</si>
  <si>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</si>
  <si>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</si>
  <si>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</si>
  <si>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</si>
  <si>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</si>
  <si>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</si>
  <si>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</si>
  <si>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</si>
  <si>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</si>
  <si>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</si>
  <si>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</si>
  <si>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</si>
  <si>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</si>
  <si>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</si>
  <si>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</si>
  <si>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</si>
  <si>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</si>
  <si>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</si>
  <si>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</si>
  <si>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</si>
  <si>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</si>
  <si>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</si>
  <si>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</si>
  <si>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</si>
  <si>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</si>
  <si>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</si>
  <si>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</si>
  <si>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</si>
  <si>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</si>
  <si>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</si>
  <si>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</si>
  <si>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</si>
  <si>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</si>
  <si>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</si>
  <si>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</si>
  <si>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</si>
  <si>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</si>
  <si>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</si>
  <si>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</si>
  <si>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</si>
  <si>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</si>
  <si>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</si>
  <si>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</si>
  <si>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</si>
  <si>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</si>
  <si>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</si>
  <si>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</si>
  <si>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</si>
  <si>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</si>
  <si>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</si>
  <si>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</si>
  <si>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</si>
  <si>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</si>
  <si>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</si>
  <si>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</si>
  <si>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</si>
  <si>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</si>
  <si>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</si>
  <si>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</si>
  <si>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</si>
  <si>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</si>
  <si>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</si>
  <si>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</si>
  <si>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</si>
  <si>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</si>
  <si>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</si>
  <si>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</si>
  <si>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</si>
  <si>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</si>
  <si>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</si>
  <si>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</si>
  <si>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</si>
  <si>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</si>
  <si>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</si>
  <si>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</si>
  <si>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</si>
  <si>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</si>
  <si>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</si>
  <si>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</si>
  <si>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</si>
  <si>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</si>
  <si>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</si>
  <si>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</si>
  <si>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</si>
  <si>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</si>
  <si>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</si>
  <si>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</si>
  <si>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</si>
  <si>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</si>
  <si>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"Master of Chinese Studies: The Story of Jao Tsung-I by 
Professor LEE Chack-fan GBM, GBS, JP"</t>
  </si>
  <si>
    <t>Jeffy Lau</t>
  </si>
  <si>
    <t>"Exploring the Essence of Tang Dynasty Poetry" by 
Professor HO Man-Wui Richard "</t>
  </si>
  <si>
    <t>"Master of Chinese Studies: Dunhuang Dunhuang Studies" by 
Dr. Cheung Shin-yee</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</si>
  <si>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</si>
  <si>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</si>
  <si>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</si>
  <si>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</si>
  <si>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</si>
  <si>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</si>
  <si>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</si>
  <si>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</si>
  <si>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</si>
  <si>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</si>
  <si>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</si>
  <si>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</si>
  <si>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LCH UG15</t>
    <phoneticPr fontId="16" type="noConversion"/>
  </si>
  <si>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</si>
  <si>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</si>
  <si>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</si>
  <si>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</si>
  <si>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</si>
  <si>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</si>
  <si>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</si>
  <si>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</si>
  <si>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</si>
  <si>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</si>
  <si>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</si>
  <si>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</si>
  <si>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</si>
  <si>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</si>
  <si>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</si>
  <si>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</si>
  <si>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</si>
  <si>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</si>
  <si>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</si>
  <si>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</si>
  <si>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</si>
  <si>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</si>
  <si>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</si>
  <si>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</si>
  <si>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</si>
  <si>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</si>
  <si>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</si>
  <si>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</si>
  <si>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</si>
  <si>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</si>
  <si>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</si>
  <si>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</si>
  <si>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</si>
  <si>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</si>
  <si>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Student Experience &amp; Residential Life</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</si>
  <si>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</si>
  <si>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</si>
  <si>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</si>
  <si>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</si>
  <si>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</si>
  <si>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</si>
  <si>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</si>
  <si>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</si>
  <si>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</si>
  <si>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</si>
  <si>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</si>
  <si>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</si>
  <si>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Bmos Cheng</t>
  </si>
  <si>
    <t>bmoscheng@ln.edu.hk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</si>
  <si>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</si>
  <si>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</si>
  <si>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</si>
  <si>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</si>
  <si>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LKK102</t>
  </si>
  <si>
    <t>Hok Lam</t>
  </si>
  <si>
    <t>PUN</t>
  </si>
  <si>
    <t>Founder of CantoNet</t>
  </si>
  <si>
    <t>Sarah Ng</t>
  </si>
  <si>
    <t>sarahng2@ln.edu.hk</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</si>
  <si>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</si>
  <si>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</si>
  <si>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</si>
  <si>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</si>
  <si>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</si>
  <si>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</si>
  <si>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</si>
  <si>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</si>
  <si>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</si>
  <si>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</si>
  <si>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</si>
  <si>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</si>
  <si>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</si>
  <si>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</si>
  <si>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</si>
  <si>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</si>
  <si>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</si>
  <si>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</si>
  <si>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</si>
  <si>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</si>
  <si>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</si>
  <si>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</si>
  <si>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Chan Tsz Lam</t>
  </si>
  <si>
    <t>tszlamchan@ln.edu.hk</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</si>
  <si>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</si>
  <si>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</si>
  <si>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</si>
  <si>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</si>
  <si>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</si>
  <si>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</si>
  <si>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</si>
  <si>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</si>
  <si>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</si>
  <si>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</si>
  <si>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</si>
  <si>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</si>
  <si>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</si>
  <si>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</si>
  <si>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</si>
  <si>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</si>
  <si>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</si>
  <si>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</si>
  <si>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</si>
  <si>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</si>
  <si>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</si>
  <si>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</si>
  <si>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</si>
  <si>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</si>
  <si>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</si>
  <si>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</si>
  <si>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</si>
  <si>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</si>
  <si>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</si>
  <si>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</si>
  <si>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Learning Commons</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</si>
  <si>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</si>
  <si>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</si>
  <si>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</si>
  <si>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</si>
  <si>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</si>
  <si>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</si>
  <si>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</si>
  <si>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</si>
  <si>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University Main Entrance</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</si>
  <si>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</si>
  <si>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</si>
  <si>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</si>
  <si>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</si>
  <si>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</si>
  <si>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</si>
  <si>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</si>
  <si>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</si>
  <si>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</si>
  <si>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</si>
  <si>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</si>
  <si>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</si>
  <si>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</si>
  <si>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</si>
  <si>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</si>
  <si>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</si>
  <si>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</si>
  <si>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</si>
  <si>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</si>
  <si>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</si>
  <si>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</si>
  <si>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</si>
  <si>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</si>
  <si>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</si>
  <si>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</si>
  <si>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</si>
  <si>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</si>
  <si>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</si>
  <si>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</si>
  <si>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</si>
  <si>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</si>
  <si>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</si>
  <si>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</si>
  <si>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</si>
  <si>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</si>
  <si>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</si>
  <si>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</si>
  <si>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</si>
  <si>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</si>
  <si>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</si>
  <si>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</si>
  <si>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</si>
  <si>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</si>
  <si>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</si>
  <si>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</si>
  <si>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</si>
  <si>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</si>
  <si>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</si>
  <si>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</si>
  <si>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</si>
  <si>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</si>
  <si>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</si>
  <si>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</si>
  <si>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</si>
  <si>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</si>
  <si>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</si>
  <si>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</si>
  <si>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</si>
  <si>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</si>
  <si>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</si>
  <si>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</si>
  <si>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</si>
  <si>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</si>
  <si>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</si>
  <si>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</si>
  <si>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</si>
  <si>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</si>
  <si>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</si>
  <si>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</si>
  <si>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</si>
  <si>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</si>
  <si>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</si>
  <si>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</si>
  <si>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</si>
  <si>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</si>
  <si>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</si>
  <si>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</si>
  <si>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</si>
  <si>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</si>
  <si>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</si>
  <si>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</si>
  <si>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</si>
  <si>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</si>
  <si>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</si>
  <si>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</si>
  <si>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</si>
  <si>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</si>
  <si>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</si>
  <si>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</si>
  <si>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</si>
  <si>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</si>
  <si>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</si>
  <si>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</si>
  <si>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</si>
  <si>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</si>
  <si>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</si>
  <si>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</si>
  <si>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</si>
  <si>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</si>
  <si>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</si>
  <si>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</si>
  <si>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</si>
  <si>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</si>
  <si>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</si>
  <si>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</si>
  <si>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</si>
  <si>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</si>
  <si>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</si>
  <si>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</si>
  <si>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</si>
  <si>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</si>
  <si>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</si>
  <si>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</si>
  <si>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</si>
  <si>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</si>
  <si>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</si>
  <si>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</si>
  <si>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</si>
  <si>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</si>
  <si>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</si>
  <si>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</si>
  <si>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</si>
  <si>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</si>
  <si>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</si>
  <si>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</si>
  <si>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</si>
  <si>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</si>
  <si>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</si>
  <si>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</si>
  <si>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</si>
  <si>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</si>
  <si>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</si>
  <si>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</si>
  <si>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</si>
  <si>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</si>
  <si>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</si>
  <si>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</si>
  <si>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</si>
  <si>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</si>
  <si>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</si>
  <si>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</si>
  <si>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</si>
  <si>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</si>
  <si>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</si>
  <si>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</si>
  <si>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</si>
  <si>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</si>
  <si>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</si>
  <si>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</si>
  <si>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</si>
  <si>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</si>
  <si>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</si>
  <si>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</si>
  <si>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</si>
  <si>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</si>
  <si>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</si>
  <si>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</si>
  <si>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</si>
  <si>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</si>
  <si>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</si>
  <si>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</si>
  <si>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</si>
  <si>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</si>
  <si>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</si>
  <si>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</si>
  <si>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</si>
  <si>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</si>
  <si>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</si>
  <si>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</si>
  <si>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</si>
  <si>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</si>
  <si>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</si>
  <si>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</si>
  <si>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</si>
  <si>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</si>
  <si>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</si>
  <si>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</si>
  <si>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</si>
  <si>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</si>
  <si>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</si>
  <si>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</si>
  <si>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</si>
  <si>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</si>
  <si>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</si>
  <si>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</si>
  <si>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</si>
  <si>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</si>
  <si>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</si>
  <si>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</si>
  <si>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</si>
  <si>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</si>
  <si>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</si>
  <si>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</si>
  <si>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</si>
  <si>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</si>
  <si>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</si>
  <si>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</si>
  <si>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</si>
  <si>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</si>
  <si>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</si>
  <si>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</si>
  <si>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</si>
  <si>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</si>
  <si>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</si>
  <si>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</si>
  <si>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</si>
  <si>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</si>
  <si>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</si>
  <si>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</si>
  <si>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</si>
  <si>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</si>
  <si>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</si>
  <si>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</si>
  <si>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</si>
  <si>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</si>
  <si>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</si>
  <si>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</si>
  <si>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</si>
  <si>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</si>
  <si>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</si>
  <si>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</si>
  <si>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</si>
  <si>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</si>
  <si>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</si>
  <si>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</si>
  <si>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</si>
  <si>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</si>
  <si>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</si>
  <si>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</si>
  <si>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</si>
  <si>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</si>
  <si>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</si>
  <si>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</si>
  <si>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</si>
  <si>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</si>
  <si>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</si>
  <si>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</si>
  <si>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</si>
  <si>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</si>
  <si>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</si>
  <si>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</si>
  <si>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</si>
  <si>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</si>
  <si>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</si>
  <si>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</si>
  <si>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</si>
  <si>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</si>
  <si>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</si>
  <si>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</si>
  <si>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</si>
  <si>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</si>
  <si>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</si>
  <si>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</si>
  <si>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</si>
  <si>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</si>
  <si>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</si>
  <si>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</si>
  <si>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</si>
  <si>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</si>
  <si>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</si>
  <si>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</si>
  <si>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</si>
  <si>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</si>
  <si>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</si>
  <si>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</si>
  <si>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</si>
  <si>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</si>
  <si>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</si>
  <si>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</si>
  <si>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</si>
  <si>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</si>
  <si>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</si>
  <si>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</si>
  <si>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</si>
  <si>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</si>
  <si>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</si>
  <si>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</si>
  <si>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</si>
  <si>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</si>
  <si>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</si>
  <si>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</si>
  <si>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</si>
  <si>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</si>
  <si>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</si>
  <si>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</si>
  <si>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</si>
  <si>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</si>
  <si>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</si>
  <si>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</si>
  <si>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</si>
  <si>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</si>
  <si>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</si>
  <si>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</si>
  <si>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</si>
  <si>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</si>
  <si>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</si>
  <si>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</si>
  <si>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</si>
  <si>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</si>
  <si>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</si>
  <si>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</si>
  <si>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</si>
  <si>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</si>
  <si>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</si>
  <si>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</si>
  <si>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</si>
  <si>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</si>
  <si>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</si>
  <si>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</si>
  <si>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</si>
  <si>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</si>
  <si>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</si>
  <si>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</si>
  <si>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</si>
  <si>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</si>
  <si>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</si>
  <si>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</si>
  <si>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</si>
  <si>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</si>
  <si>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</si>
  <si>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</si>
  <si>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</si>
  <si>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</si>
  <si>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</si>
  <si>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</si>
  <si>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</si>
  <si>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</si>
  <si>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</si>
  <si>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</si>
  <si>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</si>
  <si>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</si>
  <si>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</si>
  <si>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</si>
  <si>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</si>
  <si>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</si>
  <si>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</si>
  <si>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</si>
  <si>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</si>
  <si>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</si>
  <si>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</si>
  <si>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</si>
  <si>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</si>
  <si>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</si>
  <si>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</si>
  <si>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</si>
  <si>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</si>
  <si>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</si>
  <si>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</si>
  <si>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</si>
  <si>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</si>
  <si>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</si>
  <si>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</si>
  <si>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</si>
  <si>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</si>
  <si>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</si>
  <si>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</si>
  <si>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</si>
  <si>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</si>
  <si>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</si>
  <si>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</si>
  <si>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</si>
  <si>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</si>
  <si>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</si>
  <si>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</si>
  <si>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</si>
  <si>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</si>
  <si>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</si>
  <si>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</si>
  <si>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</si>
  <si>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</si>
  <si>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</si>
  <si>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</si>
  <si>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</si>
  <si>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</si>
  <si>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</si>
  <si>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</si>
  <si>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</si>
  <si>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</si>
  <si>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</si>
  <si>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</si>
  <si>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</si>
  <si>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</si>
  <si>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</si>
  <si>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</si>
  <si>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</si>
  <si>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</si>
  <si>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</si>
  <si>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</si>
  <si>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</si>
  <si>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</si>
  <si>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</si>
  <si>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</si>
  <si>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</si>
  <si>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</si>
  <si>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</si>
  <si>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</si>
  <si>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</si>
  <si>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</si>
  <si>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</si>
  <si>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</si>
  <si>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</si>
  <si>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</si>
  <si>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</si>
  <si>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</si>
  <si>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LKK105</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</si>
  <si>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</si>
  <si>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</si>
  <si>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</si>
  <si>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</si>
  <si>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</si>
  <si>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</si>
  <si>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</si>
  <si>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</si>
  <si>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</si>
  <si>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</si>
  <si>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</si>
  <si>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</si>
  <si>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</si>
  <si>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</si>
  <si>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</si>
  <si>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</si>
  <si>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</si>
  <si>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</si>
  <si>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</si>
  <si>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</si>
  <si>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</si>
  <si>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</si>
  <si>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</si>
  <si>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</si>
  <si>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</si>
  <si>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</si>
  <si>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</si>
  <si>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</si>
  <si>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</si>
  <si>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</si>
  <si>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</si>
  <si>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</si>
  <si>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</si>
  <si>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</si>
  <si>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</si>
  <si>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</si>
  <si>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</si>
  <si>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</si>
  <si>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</si>
  <si>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</si>
  <si>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</si>
  <si>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</si>
  <si>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</si>
  <si>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</si>
  <si>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</si>
  <si>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</si>
  <si>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</si>
  <si>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</si>
  <si>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</si>
  <si>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</si>
  <si>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</si>
  <si>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</si>
  <si>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</si>
  <si>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</si>
  <si>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</si>
  <si>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</si>
  <si>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</si>
  <si>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</si>
  <si>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</si>
  <si>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</si>
  <si>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</si>
  <si>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</si>
  <si>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</si>
  <si>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</si>
  <si>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</si>
  <si>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</si>
  <si>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</si>
  <si>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</si>
  <si>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</si>
  <si>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</si>
  <si>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</si>
  <si>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</si>
  <si>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</si>
  <si>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</si>
  <si>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</si>
  <si>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</si>
  <si>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</si>
  <si>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</si>
  <si>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</si>
  <si>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</si>
  <si>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</si>
  <si>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</si>
  <si>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TSE</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</si>
  <si>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</si>
  <si>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</si>
  <si>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</si>
  <si>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</si>
  <si>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</si>
  <si>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</si>
  <si>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</si>
  <si>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</si>
  <si>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</si>
  <si>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</si>
  <si>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</si>
  <si>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</si>
  <si>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</si>
  <si>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</si>
  <si>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</si>
  <si>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</si>
  <si>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</si>
  <si>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</si>
  <si>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</si>
  <si>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</si>
  <si>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</si>
  <si>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</si>
  <si>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</si>
  <si>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</si>
  <si>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</si>
  <si>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</si>
  <si>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</si>
  <si>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</si>
  <si>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</si>
  <si>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</si>
  <si>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</si>
  <si>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</si>
  <si>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</si>
  <si>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</si>
  <si>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</si>
  <si>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At the end of the activity, students will be able to:
1. Understand the basic structure and functions of different soil layers in a closed terrarium system; 
2.  Express creativity through personalized decoration and arrangement; and 
3. Gain an appreciation for the beauty of nature and the value of sustainable, green living.</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</si>
  <si>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</si>
  <si>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</si>
  <si>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</si>
  <si>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</si>
  <si>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</si>
  <si>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</si>
  <si>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</si>
  <si>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</si>
  <si>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</si>
  <si>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</si>
  <si>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</si>
  <si>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</si>
  <si>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</si>
  <si>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</si>
  <si>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</si>
  <si>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</si>
  <si>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</si>
  <si>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</si>
  <si>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</si>
  <si>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</si>
  <si>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</si>
  <si>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</si>
  <si>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</si>
  <si>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</si>
  <si>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</si>
  <si>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</si>
  <si>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</si>
  <si>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</si>
  <si>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</si>
  <si>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</si>
  <si>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</si>
  <si>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</si>
  <si>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</si>
  <si>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</si>
  <si>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</si>
  <si>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CELD</t>
  </si>
  <si>
    <t>Jamie</t>
  </si>
  <si>
    <t>HU</t>
  </si>
  <si>
    <t>Hong Kong Basic Law Foundation</t>
  </si>
  <si>
    <t>Ms. Sita Wong</t>
  </si>
  <si>
    <t>sita@ln.edu.hk</t>
  </si>
  <si>
    <t>Mr. Derek Chan</t>
  </si>
  <si>
    <t>derek.chan@LN.edu.hk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</si>
  <si>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</si>
  <si>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</si>
  <si>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</si>
  <si>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</si>
  <si>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</si>
  <si>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</si>
  <si>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</si>
  <si>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</si>
  <si>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</si>
  <si>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</si>
  <si>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</si>
  <si>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</si>
  <si>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</si>
  <si>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Anti-Sexual Harassment Unit
Equal Opportunities Commission</t>
  </si>
  <si>
    <t>ICMC412</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</si>
  <si>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</si>
  <si>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</si>
  <si>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</si>
  <si>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</si>
  <si>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</si>
  <si>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</si>
  <si>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</si>
  <si>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</si>
  <si>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</si>
  <si>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</si>
  <si>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</si>
  <si>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</si>
  <si>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</si>
  <si>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</si>
  <si>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</si>
  <si>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</si>
  <si>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</si>
  <si>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</si>
  <si>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</si>
  <si>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</si>
  <si>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</si>
  <si>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</si>
  <si>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</si>
  <si>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</si>
  <si>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</si>
  <si>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</si>
  <si>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</si>
  <si>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</si>
  <si>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</si>
  <si>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</si>
  <si>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</si>
  <si>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</si>
  <si>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Andy</t>
  </si>
  <si>
    <t>Principal Strategist and Director of Channel Services &amp; Communications Ltd.</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</si>
  <si>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</si>
  <si>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</si>
  <si>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</si>
  <si>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</si>
  <si>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</si>
  <si>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</si>
  <si>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</si>
  <si>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</si>
  <si>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</si>
  <si>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</si>
  <si>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</si>
  <si>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</si>
  <si>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</si>
  <si>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</si>
  <si>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</si>
  <si>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</si>
  <si>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</si>
  <si>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</si>
  <si>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</si>
  <si>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</si>
  <si>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</si>
  <si>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</si>
  <si>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</si>
  <si>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</si>
  <si>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</si>
  <si>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</si>
  <si>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</si>
  <si>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</si>
  <si>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</si>
  <si>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Sogetsu Teacher (3rd Grade), Counsellor</t>
  </si>
  <si>
    <t xml:space="preserve">IV </t>
  </si>
  <si>
    <t>Please wear sports attire.</t>
  </si>
  <si>
    <t>LCH UG15</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</si>
  <si>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</si>
  <si>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</si>
  <si>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The first and second sessions will be conducted in LKK107, while the third session will be conducted at The Hong Kong Society for the Deaf - New Territories Multi-services Centre (Leung King). Participants will be notified by email.</t>
  </si>
  <si>
    <t xml:space="preserve">Residents FIRST, then open to ALL
Please bring your computer to the workshop, as you will be using AI tools during the group discussion session.
</t>
  </si>
  <si>
    <t xml:space="preserve">Residents FIRST, then open to ALL
To ensure an optimal experience for everyone, please only register if you can understand Cantonese.
</t>
  </si>
  <si>
    <t>The Global Inclusive Leadership Programme in the AI era aims to develop the next generation of inclusive leaders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</si>
</sst>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6">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1"/>
      <color rgb="FF1F003A"/>
      <name val="Calibri"/>
      <family val="2"/>
      <scheme val="minor"/>
    </font>
    <font>
      <sz val="11"/>
      <color rgb="FFED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11">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12" xfId="0" applyFill="1" applyBorder="1" applyAlignment="1">
      <alignment horizontal="center" vertical="center" wrapText="1"/>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20" fillId="2" borderId="20"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vertical="top" wrapText="1"/>
      <protection locked="0"/>
    </xf>
    <xf numFmtId="0" fontId="19" fillId="2" borderId="16" xfId="0" applyFont="1"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8" xfId="0" applyFill="1" applyBorder="1" applyAlignment="1">
      <alignment horizontal="center" vertical="top" wrapText="1"/>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21" fillId="2" borderId="20" xfId="0" applyFont="1" applyFill="1" applyBorder="1" applyAlignment="1" applyProtection="1">
      <alignment horizontal="left" vertical="top" wrapText="1"/>
      <protection locked="0"/>
    </xf>
    <xf numFmtId="0" fontId="0" fillId="2" borderId="15" xfId="0" applyFill="1" applyBorder="1" applyAlignment="1">
      <alignment horizontal="center" vertical="top" wrapText="1"/>
    </xf>
    <xf numFmtId="0" fontId="0" fillId="2" borderId="20"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2"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2"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2"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20"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3" fillId="2" borderId="12" xfId="0" applyFont="1" applyFill="1" applyBorder="1" applyAlignment="1" applyProtection="1">
      <alignment vertical="top" wrapText="1"/>
      <protection locked="0"/>
    </xf>
    <xf numFmtId="0" fontId="23" fillId="2" borderId="33" xfId="0" applyFont="1" applyFill="1" applyBorder="1" applyAlignment="1" applyProtection="1">
      <alignment vertical="top" wrapText="1"/>
      <protection locked="0"/>
    </xf>
    <xf numFmtId="0" fontId="23" fillId="2" borderId="9"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center" vertical="top" wrapText="1"/>
      <protection locked="0"/>
    </xf>
    <xf numFmtId="0" fontId="23" fillId="2" borderId="2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166" fontId="23" fillId="2" borderId="31" xfId="0" applyNumberFormat="1" applyFont="1" applyFill="1" applyBorder="1" applyAlignment="1" applyProtection="1">
      <alignment horizontal="center" vertical="top" wrapText="1"/>
      <protection locked="0"/>
    </xf>
    <xf numFmtId="164" fontId="23" fillId="2" borderId="26" xfId="0" applyNumberFormat="1" applyFont="1" applyFill="1" applyBorder="1" applyAlignment="1" applyProtection="1">
      <alignment horizontal="center" vertical="top" wrapText="1"/>
      <protection locked="0"/>
    </xf>
    <xf numFmtId="166" fontId="23" fillId="2" borderId="27"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vertical="top" wrapText="1"/>
      <protection locked="0"/>
    </xf>
    <xf numFmtId="0" fontId="23" fillId="2" borderId="37" xfId="0" applyFont="1"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16" xfId="0" applyFont="1" applyFill="1" applyBorder="1" applyAlignment="1">
      <alignment vertical="top" wrapText="1"/>
    </xf>
    <xf numFmtId="0" fontId="23"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5" fillId="2" borderId="12" xfId="0" applyFont="1" applyFill="1" applyBorder="1" applyAlignment="1">
      <alignment horizontal="center" vertical="center" wrapText="1"/>
    </xf>
    <xf numFmtId="0" fontId="25" fillId="2" borderId="16" xfId="0" applyFont="1" applyFill="1" applyBorder="1" applyAlignment="1">
      <alignment horizontal="center" vertical="top" wrapText="1"/>
    </xf>
    <xf numFmtId="0" fontId="25" fillId="2" borderId="12" xfId="0" applyFont="1" applyFill="1" applyBorder="1" applyAlignment="1" applyProtection="1">
      <alignment horizontal="center" vertical="top" wrapText="1"/>
      <protection locked="0"/>
    </xf>
    <xf numFmtId="0" fontId="26" fillId="2" borderId="12" xfId="0" applyFont="1" applyFill="1" applyBorder="1" applyAlignment="1" applyProtection="1">
      <alignment horizontal="center" vertical="top" wrapText="1"/>
      <protection locked="0"/>
    </xf>
    <xf numFmtId="0" fontId="26" fillId="2" borderId="9" xfId="0" applyFont="1" applyFill="1" applyBorder="1" applyAlignment="1" applyProtection="1">
      <alignment horizontal="left" vertical="top" wrapText="1"/>
      <protection locked="0"/>
    </xf>
    <xf numFmtId="0" fontId="25" fillId="2" borderId="9" xfId="0" applyFont="1" applyFill="1" applyBorder="1" applyAlignment="1" applyProtection="1">
      <alignment vertical="top" wrapText="1"/>
      <protection locked="0"/>
    </xf>
    <xf numFmtId="0" fontId="25" fillId="2" borderId="12" xfId="0" applyFont="1" applyFill="1" applyBorder="1" applyAlignment="1">
      <alignment horizontal="center" vertical="top" wrapText="1"/>
    </xf>
    <xf numFmtId="0" fontId="25" fillId="2" borderId="16" xfId="0" applyFont="1" applyFill="1" applyBorder="1" applyAlignment="1" applyProtection="1">
      <alignment horizontal="center" vertical="top" wrapText="1"/>
      <protection locked="0"/>
    </xf>
    <xf numFmtId="0" fontId="25" fillId="2" borderId="8" xfId="0" applyFont="1" applyFill="1" applyBorder="1" applyAlignment="1">
      <alignment horizontal="center" vertical="top" wrapText="1"/>
    </xf>
    <xf numFmtId="164" fontId="25" fillId="2" borderId="9" xfId="0" applyNumberFormat="1" applyFont="1" applyFill="1" applyBorder="1" applyAlignment="1" applyProtection="1">
      <alignment horizontal="center" vertical="top" wrapText="1"/>
      <protection locked="0"/>
    </xf>
    <xf numFmtId="165" fontId="25" fillId="2" borderId="16" xfId="0" applyNumberFormat="1" applyFont="1" applyFill="1" applyBorder="1" applyAlignment="1">
      <alignment horizontal="center" vertical="top" wrapText="1"/>
    </xf>
    <xf numFmtId="166" fontId="25" fillId="2" borderId="16" xfId="0" applyNumberFormat="1" applyFont="1" applyFill="1" applyBorder="1" applyAlignment="1" applyProtection="1">
      <alignment horizontal="center" vertical="top" wrapText="1"/>
      <protection locked="0"/>
    </xf>
    <xf numFmtId="166" fontId="25" fillId="2" borderId="8" xfId="0" applyNumberFormat="1" applyFont="1" applyFill="1" applyBorder="1" applyAlignment="1" applyProtection="1">
      <alignment horizontal="center" vertical="top" wrapText="1"/>
      <protection locked="0"/>
    </xf>
    <xf numFmtId="166" fontId="25" fillId="2" borderId="12" xfId="0" applyNumberFormat="1" applyFont="1" applyFill="1" applyBorder="1" applyAlignment="1" applyProtection="1">
      <alignment horizontal="center" vertical="top" wrapText="1"/>
      <protection locked="0"/>
    </xf>
    <xf numFmtId="164" fontId="25" fillId="2" borderId="20" xfId="0" applyNumberFormat="1" applyFont="1" applyFill="1" applyBorder="1" applyAlignment="1" applyProtection="1">
      <alignment horizontal="center" vertical="top" wrapText="1"/>
      <protection locked="0"/>
    </xf>
    <xf numFmtId="0" fontId="25" fillId="2" borderId="9" xfId="0" applyFont="1" applyFill="1" applyBorder="1" applyAlignment="1" applyProtection="1">
      <alignment horizontal="center" vertical="top" wrapText="1"/>
      <protection locked="0"/>
    </xf>
    <xf numFmtId="0" fontId="25" fillId="2" borderId="16" xfId="0" applyFont="1" applyFill="1" applyBorder="1" applyAlignment="1" applyProtection="1">
      <alignment horizontal="left" vertical="top" wrapText="1"/>
      <protection locked="0"/>
    </xf>
    <xf numFmtId="0" fontId="25" fillId="2" borderId="16" xfId="0" applyFont="1" applyFill="1" applyBorder="1" applyAlignment="1" applyProtection="1">
      <alignment vertical="top" wrapText="1"/>
      <protection locked="0"/>
    </xf>
    <xf numFmtId="0" fontId="25" fillId="2" borderId="12" xfId="0" applyFont="1" applyFill="1" applyBorder="1" applyAlignment="1" applyProtection="1">
      <alignment vertical="top" wrapText="1"/>
      <protection locked="0"/>
    </xf>
    <xf numFmtId="0" fontId="25" fillId="2" borderId="20" xfId="0" applyFont="1" applyFill="1" applyBorder="1" applyAlignment="1" applyProtection="1">
      <alignment vertical="top" wrapText="1"/>
      <protection locked="0"/>
    </xf>
    <xf numFmtId="0" fontId="25" fillId="2" borderId="16" xfId="0" applyFont="1" applyFill="1" applyBorder="1" applyAlignment="1">
      <alignment vertical="top" wrapText="1"/>
    </xf>
    <xf numFmtId="0" fontId="25" fillId="8" borderId="16" xfId="0" applyFont="1" applyFill="1" applyBorder="1" applyAlignment="1" applyProtection="1">
      <alignment horizontal="center" vertical="top" wrapText="1"/>
      <protection locked="0"/>
    </xf>
    <xf numFmtId="0" fontId="25" fillId="0" borderId="0" xfId="0" applyFont="1" applyAlignment="1">
      <alignment vertical="center" wrapText="1"/>
    </xf>
    <xf numFmtId="0" fontId="25"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8"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5" fillId="2" borderId="9" xfId="0" applyFont="1" applyFill="1" applyBorder="1" applyAlignment="1">
      <alignment horizontal="center" vertical="top" wrapText="1"/>
    </xf>
    <xf numFmtId="0" fontId="26" fillId="2" borderId="20" xfId="0" applyFont="1" applyFill="1" applyBorder="1" applyAlignment="1" applyProtection="1">
      <alignment horizontal="center" vertical="top" wrapText="1"/>
      <protection locked="0"/>
    </xf>
    <xf numFmtId="0" fontId="22"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6"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6" fillId="2" borderId="28" xfId="0" applyFont="1" applyFill="1" applyBorder="1" applyAlignment="1" applyProtection="1">
      <alignment vertical="top" wrapText="1"/>
      <protection locked="0"/>
    </xf>
    <xf numFmtId="0" fontId="22"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6" fillId="2" borderId="33" xfId="0" applyFont="1" applyFill="1" applyBorder="1" applyAlignment="1" applyProtection="1">
      <alignment vertical="top" wrapText="1"/>
      <protection locked="0"/>
    </xf>
    <xf numFmtId="0" fontId="26" fillId="2" borderId="20" xfId="0" applyFont="1" applyFill="1" applyBorder="1" applyAlignment="1" applyProtection="1">
      <alignment vertical="top" wrapText="1"/>
      <protection locked="0"/>
    </xf>
    <xf numFmtId="0" fontId="26" fillId="2" borderId="8" xfId="0" applyFont="1" applyFill="1" applyBorder="1" applyAlignment="1" applyProtection="1">
      <alignment vertical="top" wrapText="1"/>
      <protection locked="0"/>
    </xf>
    <xf numFmtId="0" fontId="25" fillId="2" borderId="33" xfId="0" applyFont="1" applyFill="1" applyBorder="1" applyAlignment="1" applyProtection="1">
      <alignment horizontal="center" vertical="top" wrapText="1"/>
      <protection locked="0"/>
    </xf>
    <xf numFmtId="0" fontId="25" fillId="2" borderId="39" xfId="0" applyFont="1" applyFill="1" applyBorder="1" applyAlignment="1" applyProtection="1">
      <alignment horizontal="center" vertical="top" wrapText="1"/>
      <protection locked="0"/>
    </xf>
    <xf numFmtId="0" fontId="25"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5" fillId="2" borderId="8" xfId="0" applyFont="1" applyFill="1" applyBorder="1" applyAlignment="1" applyProtection="1">
      <alignment vertical="top" wrapText="1"/>
      <protection locked="0"/>
    </xf>
    <xf numFmtId="0" fontId="25"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5" fillId="2" borderId="8" xfId="0" applyFont="1" applyFill="1" applyBorder="1" applyAlignment="1" applyProtection="1">
      <alignment horizontal="center" vertical="top" wrapText="1"/>
      <protection locked="0"/>
    </xf>
    <xf numFmtId="0" fontId="25"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8"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2" fillId="9" borderId="26" xfId="0" applyFont="1" applyFill="1" applyBorder="1" applyAlignment="1" applyProtection="1">
      <alignment horizontal="left" vertical="top" wrapText="1"/>
      <protection locked="0"/>
    </xf>
    <xf numFmtId="0" fontId="22" fillId="9" borderId="12" xfId="0" applyFont="1" applyFill="1" applyBorder="1" applyAlignment="1" applyProtection="1">
      <alignment vertical="top" wrapText="1"/>
      <protection locked="0"/>
    </xf>
    <xf numFmtId="0" fontId="28" fillId="9" borderId="26" xfId="0" applyFont="1" applyFill="1" applyBorder="1" applyAlignment="1" applyProtection="1">
      <alignment vertical="top" wrapText="1"/>
      <protection locked="0"/>
    </xf>
    <xf numFmtId="0" fontId="28" fillId="9" borderId="17" xfId="0" applyFont="1" applyFill="1" applyBorder="1" applyAlignment="1" applyProtection="1">
      <alignment horizontal="center" vertical="top" wrapText="1"/>
      <protection locked="0"/>
    </xf>
    <xf numFmtId="0" fontId="28" fillId="9" borderId="8" xfId="0" applyFont="1" applyFill="1" applyBorder="1" applyAlignment="1" applyProtection="1">
      <alignment horizontal="center" vertical="top" wrapText="1"/>
      <protection locked="0"/>
    </xf>
    <xf numFmtId="0" fontId="28" fillId="9" borderId="21" xfId="0" applyFont="1" applyFill="1" applyBorder="1" applyAlignment="1" applyProtection="1">
      <alignment vertical="top" wrapText="1"/>
      <protection locked="0"/>
    </xf>
    <xf numFmtId="0" fontId="28" fillId="9" borderId="45" xfId="0" applyFont="1" applyFill="1" applyBorder="1" applyAlignment="1" applyProtection="1">
      <alignment horizontal="center" vertical="top" wrapText="1"/>
      <protection locked="0"/>
    </xf>
    <xf numFmtId="0" fontId="28"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8"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2" fillId="9" borderId="20" xfId="0" applyFont="1" applyFill="1" applyBorder="1" applyAlignment="1" applyProtection="1">
      <alignment horizontal="left" vertical="top" wrapText="1"/>
      <protection locked="0"/>
    </xf>
    <xf numFmtId="0" fontId="28"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2" fillId="16" borderId="20" xfId="0" applyFont="1" applyFill="1" applyBorder="1" applyAlignment="1" applyProtection="1">
      <alignment horizontal="left" vertical="top" wrapText="1"/>
      <protection locked="0"/>
    </xf>
    <xf numFmtId="0" fontId="28" fillId="16" borderId="12" xfId="0" applyFont="1" applyFill="1" applyBorder="1" applyAlignment="1" applyProtection="1">
      <alignment vertical="top" wrapText="1"/>
      <protection locked="0"/>
    </xf>
    <xf numFmtId="0" fontId="29" fillId="17" borderId="16" xfId="0" applyFont="1" applyFill="1" applyBorder="1" applyAlignment="1">
      <alignment horizontal="left" vertical="top" wrapText="1"/>
    </xf>
    <xf numFmtId="0" fontId="28" fillId="16" borderId="45" xfId="0" applyFont="1" applyFill="1" applyBorder="1" applyAlignment="1" applyProtection="1">
      <alignment horizontal="center" vertical="top" wrapText="1"/>
      <protection locked="0"/>
    </xf>
    <xf numFmtId="0" fontId="28"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8"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2" fillId="2" borderId="16" xfId="0" applyFont="1" applyFill="1" applyBorder="1" applyAlignment="1" applyProtection="1">
      <alignment vertical="top" wrapText="1"/>
      <protection locked="0"/>
    </xf>
    <xf numFmtId="0" fontId="22"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8" fillId="17" borderId="16" xfId="0" applyFont="1" applyFill="1" applyBorder="1" applyAlignment="1">
      <alignment horizontal="left" vertical="top" wrapText="1"/>
    </xf>
    <xf numFmtId="0" fontId="22"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2" fillId="19" borderId="20" xfId="0" applyFont="1" applyFill="1" applyBorder="1" applyAlignment="1" applyProtection="1">
      <alignment horizontal="left" vertical="top" wrapText="1"/>
      <protection locked="0"/>
    </xf>
    <xf numFmtId="0" fontId="28" fillId="19" borderId="12" xfId="0" applyFont="1" applyFill="1" applyBorder="1" applyAlignment="1" applyProtection="1">
      <alignment vertical="top" wrapText="1"/>
      <protection locked="0"/>
    </xf>
    <xf numFmtId="0" fontId="28"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30" fillId="19" borderId="48" xfId="1" applyFont="1" applyFill="1" applyBorder="1" applyAlignment="1" applyProtection="1">
      <alignment vertical="top" wrapText="1"/>
      <protection locked="0"/>
    </xf>
    <xf numFmtId="0" fontId="30" fillId="19" borderId="28" xfId="1" applyNumberFormat="1" applyFont="1" applyFill="1" applyBorder="1" applyAlignment="1" applyProtection="1">
      <alignment vertical="top" wrapText="1"/>
      <protection locked="0"/>
    </xf>
    <xf numFmtId="0" fontId="31" fillId="10" borderId="13" xfId="0" applyFont="1" applyFill="1" applyBorder="1"/>
    <xf numFmtId="0" fontId="30"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3"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4"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4" fillId="9" borderId="15" xfId="0" applyFont="1" applyFill="1" applyBorder="1" applyAlignment="1" applyProtection="1">
      <alignment horizontal="left" vertical="top" wrapText="1"/>
      <protection locked="0"/>
    </xf>
    <xf numFmtId="0" fontId="34" fillId="9" borderId="15" xfId="0" applyFont="1" applyFill="1" applyBorder="1" applyAlignment="1" applyProtection="1">
      <alignment horizontal="center" vertical="top" wrapText="1"/>
      <protection locked="0"/>
    </xf>
    <xf numFmtId="0" fontId="34" fillId="9" borderId="23" xfId="0" applyFont="1" applyFill="1" applyBorder="1" applyAlignment="1" applyProtection="1">
      <alignment vertical="top" wrapText="1"/>
      <protection locked="0"/>
    </xf>
    <xf numFmtId="0" fontId="34" fillId="9" borderId="21" xfId="0" applyFont="1" applyFill="1" applyBorder="1" applyAlignment="1" applyProtection="1">
      <alignment vertical="top" wrapText="1"/>
      <protection locked="0"/>
    </xf>
    <xf numFmtId="0" fontId="34"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5"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6"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7"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7"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40" fillId="9" borderId="16" xfId="0" applyFont="1" applyFill="1" applyBorder="1" applyAlignment="1">
      <alignment horizontal="left" vertical="center" wrapText="1"/>
    </xf>
    <xf numFmtId="0" fontId="40"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40"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40" fillId="9" borderId="42" xfId="0" applyFont="1" applyFill="1" applyBorder="1" applyAlignment="1" applyProtection="1">
      <alignment horizontal="center" vertical="top" wrapText="1"/>
      <protection locked="0"/>
    </xf>
    <xf numFmtId="0" fontId="40" fillId="9" borderId="28" xfId="0" applyFont="1" applyFill="1" applyBorder="1" applyAlignment="1" applyProtection="1">
      <alignment horizontal="center" vertical="top" wrapText="1"/>
      <protection locked="0"/>
    </xf>
    <xf numFmtId="0" fontId="40" fillId="9" borderId="47" xfId="0" applyFont="1" applyFill="1" applyBorder="1" applyAlignment="1" applyProtection="1">
      <alignment horizontal="center" vertical="top" wrapText="1"/>
      <protection locked="0"/>
    </xf>
    <xf numFmtId="0" fontId="40"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41"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40" fillId="9" borderId="12" xfId="0" applyFont="1" applyFill="1" applyBorder="1" applyAlignment="1" applyProtection="1">
      <alignment horizontal="left" vertical="top" wrapText="1"/>
      <protection locked="0"/>
    </xf>
    <xf numFmtId="0" fontId="40" fillId="9" borderId="9" xfId="0" applyFont="1" applyFill="1" applyBorder="1" applyAlignment="1" applyProtection="1">
      <alignment horizontal="left" vertical="top" wrapText="1"/>
      <protection locked="0"/>
    </xf>
    <xf numFmtId="0" fontId="40" fillId="9" borderId="28" xfId="0" applyFont="1" applyFill="1" applyBorder="1" applyAlignment="1" applyProtection="1">
      <alignment horizontal="left" vertical="top" wrapText="1"/>
      <protection locked="0"/>
    </xf>
    <xf numFmtId="0" fontId="40"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40"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40"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2" fillId="24" borderId="62" xfId="0" applyFont="1" applyFill="1" applyBorder="1" applyAlignment="1">
      <alignment vertical="top" wrapText="1"/>
    </xf>
    <xf numFmtId="0" fontId="42" fillId="24" borderId="25" xfId="0" applyFont="1" applyFill="1" applyBorder="1" applyAlignment="1">
      <alignment horizontal="center" vertical="top" wrapText="1"/>
    </xf>
    <xf numFmtId="0" fontId="42" fillId="24" borderId="25" xfId="0" applyFont="1" applyFill="1" applyBorder="1" applyAlignment="1">
      <alignment vertical="top" wrapText="1"/>
    </xf>
    <xf numFmtId="0" fontId="42" fillId="24" borderId="63" xfId="0" applyFont="1" applyFill="1" applyBorder="1" applyAlignment="1">
      <alignment vertical="top" wrapText="1"/>
    </xf>
    <xf numFmtId="0" fontId="42" fillId="24" borderId="25" xfId="0" applyFont="1" applyFill="1" applyBorder="1" applyAlignment="1">
      <alignment horizontal="left" vertical="top" wrapText="1"/>
    </xf>
    <xf numFmtId="0" fontId="42"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2" fillId="24" borderId="65" xfId="0" applyFont="1" applyFill="1" applyBorder="1" applyAlignment="1">
      <alignment vertical="top" wrapText="1"/>
    </xf>
    <xf numFmtId="0" fontId="42" fillId="24" borderId="25" xfId="0" quotePrefix="1" applyFont="1" applyFill="1" applyBorder="1" applyAlignment="1">
      <alignment horizontal="center" vertical="top" wrapText="1"/>
    </xf>
    <xf numFmtId="0" fontId="42" fillId="24" borderId="66" xfId="0" applyFont="1" applyFill="1" applyBorder="1" applyAlignment="1">
      <alignment vertical="top" wrapText="1"/>
    </xf>
    <xf numFmtId="0" fontId="2" fillId="24" borderId="59" xfId="1" applyFill="1" applyBorder="1" applyAlignment="1">
      <alignment vertical="top" wrapText="1"/>
    </xf>
    <xf numFmtId="0" fontId="42" fillId="24" borderId="67" xfId="0" applyFont="1" applyFill="1" applyBorder="1" applyAlignment="1">
      <alignment horizontal="left" vertical="top" wrapText="1"/>
    </xf>
    <xf numFmtId="0" fontId="42"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3" fillId="9" borderId="20" xfId="1"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3"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2" fillId="9" borderId="47" xfId="0" applyFont="1" applyFill="1" applyBorder="1" applyAlignment="1" applyProtection="1">
      <alignment vertical="top" wrapText="1"/>
      <protection locked="0"/>
    </xf>
    <xf numFmtId="0" fontId="42" fillId="9" borderId="49" xfId="0" applyFont="1" applyFill="1" applyBorder="1" applyAlignment="1" applyProtection="1">
      <alignment vertical="top" wrapText="1"/>
      <protection locked="0"/>
    </xf>
    <xf numFmtId="0" fontId="44"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5"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39">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20.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17" dataDxfId="715" headerRowBorderDxfId="716" tableBorderDxfId="714" totalsRowBorderDxfId="713">
  <autoFilter ref="B2:DM51" xr:uid="{A40E3A6D-1066-4C6D-8DC4-5DAEE3358E36}"/>
  <tableColumns count="116">
    <tableColumn id="1" xr3:uid="{D7748788-3A4F-4A30-9681-6DA0F85D494A}" uniqueName="1" name="Term" queryTableFieldId="1" dataDxfId="712"/>
    <tableColumn id="2" xr3:uid="{077DBD3B-B5E8-47E1-A473-8610EA217896}" uniqueName="2" name="Course Code" queryTableFieldId="2" dataDxfId="711"/>
    <tableColumn id="3" xr3:uid="{F02E0845-4570-4395-8D12-30E7255DBD82}" uniqueName="3" name="Part of Terms" queryTableFieldId="3" dataDxfId="710"/>
    <tableColumn id="4" xr3:uid="{D4DE6E12-4E69-45B6-9570-016962D26AFA}" uniqueName="4" name="CRN" queryTableFieldId="4" dataDxfId="709"/>
    <tableColumn id="59" xr3:uid="{5545B1B9-ACBF-4BA1-B60F-FF9BC37066ED}" uniqueName="59" name="Department / Unit" queryTableFieldId="59" dataDxfId="708"/>
    <tableColumn id="33" xr3:uid="{D81E72FE-A02B-4E24-B430-30FF2896B80F}" uniqueName="33" name="Team" queryTableFieldId="176" dataDxfId="707"/>
    <tableColumn id="5" xr3:uid="{0E84BBB8-C1F9-45A4-A2AC-75084D22C124}" uniqueName="5" name="Series Name (Chi)" queryTableFieldId="5" dataDxfId="706"/>
    <tableColumn id="6" xr3:uid="{AEAC1B02-0EEA-400B-9D37-494D62EE6748}" uniqueName="6" name="Series Name (Eng)" queryTableFieldId="6" dataDxfId="705"/>
    <tableColumn id="7" xr3:uid="{4F22E275-9351-4CE2-A19D-90FD128A590D}" uniqueName="7" name="Activity Title (Chi)" queryTableFieldId="7" dataDxfId="704"/>
    <tableColumn id="8" xr3:uid="{528C9D2A-FAAC-41FA-B8D1-C627373226B1}" uniqueName="8" name="Activity Title (Eng)" queryTableFieldId="8" dataDxfId="703"/>
    <tableColumn id="57" xr3:uid="{35E894F4-7792-44EF-830A-BA9267DEC81C}" uniqueName="57" name="Session Title" queryTableFieldId="57" dataDxfId="702"/>
    <tableColumn id="9" xr3:uid="{E3247E3B-C5D2-4DB1-A9E5-1377A5277F43}" uniqueName="9" name="Objectives / Expected Learning Outcomes (Eng)" queryTableFieldId="9" dataDxfId="701"/>
    <tableColumn id="10" xr3:uid="{5DC2DC5C-E650-479A-8505-5A74B5452896}" uniqueName="10" name="Description (Eng)" queryTableFieldId="10" dataDxfId="700"/>
    <tableColumn id="55" xr3:uid="{E8C8CC39-AF79-4015-B065-5FA9968E9A67}" uniqueName="55" name="Include in Online Registration? _x000a_(Y/N)" queryTableFieldId="55" dataDxfId="699"/>
    <tableColumn id="44" xr3:uid="{828EAD3E-4A90-4091-9B2F-0540E68EACCB}" uniqueName="44" name="Send Auto-reminder? _x000a_(Y/N)" queryTableFieldId="178" dataDxfId="698"/>
    <tableColumn id="75" xr3:uid="{840161F4-C134-4388-9B81-0ED44D8714DE}" uniqueName="75" name="Learning Domain" queryTableFieldId="76" dataDxfId="697"/>
    <tableColumn id="11" xr3:uid="{9049CF41-AD47-487C-820B-AE446578038F}" uniqueName="11" name="Learning Domain (Short)" queryTableFieldId="11" dataDxfId="696"/>
    <tableColumn id="12" xr3:uid="{1CBF9600-AA04-47F3-8AC0-D001BDDAD4B4}" uniqueName="12" name="Leadership LS" queryTableFieldId="12" dataDxfId="695"/>
    <tableColumn id="13" xr3:uid="{2F03DA5D-6362-4E22-A171-B099DB75C293}" uniqueName="13" name="Entrepreneurship ENT" queryTableFieldId="13" dataDxfId="694"/>
    <tableColumn id="14" xr3:uid="{38129F18-E3F1-492C-8017-A0B0C110E25A}" uniqueName="14" name="Well-being (Physical) WBP" queryTableFieldId="14" dataDxfId="693"/>
    <tableColumn id="15" xr3:uid="{48F47765-049A-41B4-968D-91D6C81BD79E}" uniqueName="15" name="Well-being (Mental) WBM" queryTableFieldId="15" dataDxfId="692"/>
    <tableColumn id="16" xr3:uid="{61AFAC1B-4E93-4249-9B58-9AC7F9692D83}" uniqueName="16" name="Language Enhancement LE" queryTableFieldId="16" dataDxfId="691"/>
    <tableColumn id="17" xr3:uid="{5556ED20-28B1-4E23-B642-C74B8790B0D5}" uniqueName="17" name="Cross-Cultural Appreciation_x000a_&amp; Integration CCAI" queryTableFieldId="17" dataDxfId="690"/>
    <tableColumn id="18" xr3:uid="{417B9DA7-97BB-4B24-807B-595DE68AAD85}" uniqueName="18" name="Sustainability SUS" queryTableFieldId="18" dataDxfId="689"/>
    <tableColumn id="19" xr3:uid="{0D4423B5-07A2-4860-88E4-1F1FB6C68889}" uniqueName="19" name="Digital Literacy DL" queryTableFieldId="19" dataDxfId="688"/>
    <tableColumn id="20" xr3:uid="{6D5C3994-3849-4219-AB2A-6F6E9C48394B}" uniqueName="20" name="Career Development  CR" queryTableFieldId="20" dataDxfId="687"/>
    <tableColumn id="22" xr3:uid="{956CD75C-7505-4DAA-A858-BFDACDA44974}" uniqueName="22" name="Total" queryTableFieldId="22" dataDxfId="686"/>
    <tableColumn id="106" xr3:uid="{43A0F816-A899-46C0-9293-399AA28CB75C}" uniqueName="106" name="Programme Type" queryTableFieldId="110" dataDxfId="685"/>
    <tableColumn id="23" xr3:uid="{774ECFEB-A824-4104-BB1D-7A4BBEEB3497}" uniqueName="23" name="Delivery Mode" queryTableFieldId="23" dataDxfId="684"/>
    <tableColumn id="24" xr3:uid="{C62B0C86-6DB8-473B-A6FC-0490C3374A1C}" uniqueName="24" name="Medium_x000a_of Instruction_x000a_(ENG)" queryTableFieldId="24" dataDxfId="683"/>
    <tableColumn id="77" xr3:uid="{4C1343D4-F660-46DA-91D7-8FD39B05EC37}" uniqueName="77" name="Medium_x000a_of Instruction_x000a_(Cantonese)" queryTableFieldId="78" dataDxfId="682"/>
    <tableColumn id="76" xr3:uid="{D7811E76-917F-467A-9496-A9E79CC395A7}" uniqueName="76" name="Medium_x000a_of Instruction_x000a_(PTH)" queryTableFieldId="77" dataDxfId="681"/>
    <tableColumn id="26" xr3:uid="{EF664E21-C2D2-4B85-8849-5B0023959F00}" uniqueName="26" name="ILP Units Per Session" queryTableFieldId="26" dataDxfId="680"/>
    <tableColumn id="27" xr3:uid="{9A612552-23B6-46C8-87A5-4CE08ADB3163}" uniqueName="27" name="Quota" queryTableFieldId="27" dataDxfId="679"/>
    <tableColumn id="28" xr3:uid="{6198BDC7-1DED-43E2-860F-479C51887E77}" uniqueName="28" name="Total Units to be Offered" queryTableFieldId="28" dataDxfId="678"/>
    <tableColumn id="29" xr3:uid="{1035825E-EE62-4A69-8BF5-10CABE6E3396}" uniqueName="29" name="Lesson 1 _x000a_Date _x000a_(DD-MMM-YYYY)" queryTableFieldId="29" dataDxfId="677"/>
    <tableColumn id="105" xr3:uid="{2C28B08A-5CB6-4164-9871-2F4AEB61060D}" uniqueName="105" name="Lesson 1 (DOW)" queryTableFieldId="109" dataDxfId="676">
      <calculatedColumnFormula>WEEKDAY(Sheet_1_Table_1_137[[#This Row],[Lesson 1 
Date 
(DD-MMM-YYYY)]])</calculatedColumnFormula>
    </tableColumn>
    <tableColumn id="103" xr3:uid="{AF4D5235-07FE-45C7-A108-A9CC27FBD25E}" uniqueName="103" name="Lesson 1 _x000a_Start Time_x000a_(HH:MM)" queryTableFieldId="107" dataDxfId="675"/>
    <tableColumn id="56" xr3:uid="{E1D8545A-08B8-4ED9-B491-E1847EAEE6EC}" uniqueName="56" name="Lesson 1_x000a_End Time_x000a_(HH:MM)" queryTableFieldId="163" dataDxfId="674"/>
    <tableColumn id="58" xr3:uid="{86F1EB32-F83D-42E8-97C8-AB1C58999B37}" uniqueName="58" name="Lesson 1 _x000a_Venue" queryTableFieldId="58" dataDxfId="673"/>
    <tableColumn id="113" xr3:uid="{A67A8570-6DD6-46CF-9685-0A3C5B2C84D0}" uniqueName="113" name="Lesson 2_x000a_Date _x000a_(DD-MMM-YYYY)" queryTableFieldId="120" dataDxfId="672"/>
    <tableColumn id="114" xr3:uid="{33C08BF5-0924-41B2-8143-09ACEA94978D}" uniqueName="114" name="Lesson 2 (DOW)" queryTableFieldId="119" dataDxfId="671">
      <calculatedColumnFormula>WEEKDAY(Sheet_1_Table_1_137[[#This Row],[Lesson 1 
Date 
(DD-MMM-YYYY)]])</calculatedColumnFormula>
    </tableColumn>
    <tableColumn id="115" xr3:uid="{2199361E-D981-49DF-A175-2F52A017AF1D}" uniqueName="115" name="Lesson 2_x000a_Start Time_x000a_(HH:MM)" queryTableFieldId="118" dataDxfId="670"/>
    <tableColumn id="60" xr3:uid="{66B4A5EA-26B9-40C9-AC34-FFFB22B0311C}" uniqueName="60" name="Lesson 2_x000a_End Time_x000a_(HH:MM)" queryTableFieldId="164" dataDxfId="669"/>
    <tableColumn id="116" xr3:uid="{CDD459D2-C3E6-477C-9BD1-E53F061DD3F4}" uniqueName="116" name="Lesson 2_x000a_ Venue" queryTableFieldId="117" dataDxfId="668"/>
    <tableColumn id="104" xr3:uid="{593B6CAF-5566-4E60-8ABB-0F8DB90EC7B0}" uniqueName="104" name="Lesson 3_x000a_Date _x000a_(DD-MMM-YYYY)" queryTableFieldId="108" dataDxfId="667"/>
    <tableColumn id="112" xr3:uid="{DE05FD11-A130-45EF-89A1-E4ED1057C8C7}" uniqueName="112" name="Lesson 3 (DOW)" queryTableFieldId="116" dataDxfId="666">
      <calculatedColumnFormula>WEEKDAY([4]!Sheet_1_Table_1_13[[#This Row],[Lesson 3
Date 
(DD-MMM-YYYY)]])</calculatedColumnFormula>
    </tableColumn>
    <tableColumn id="111" xr3:uid="{39E0E4B7-B146-440F-825C-7AF5BAE8F504}" uniqueName="111" name="Lesson 3_x000a_Start Time_x000a_(HH:MM)" queryTableFieldId="115" dataDxfId="665"/>
    <tableColumn id="62" xr3:uid="{2435C6E3-B8D6-4F49-916D-5ED44C119A0A}" uniqueName="62" name="Lesson 3_x000a_End Time_x000a_(HH:MM)" queryTableFieldId="165" dataDxfId="664"/>
    <tableColumn id="110" xr3:uid="{46D72D1D-BDC0-4DF0-9FB8-76DE96E09C7E}" uniqueName="110" name="Lesson 3_x000a_ Venue" queryTableFieldId="114" dataDxfId="663"/>
    <tableColumn id="109" xr3:uid="{AB76124B-A7D0-4A66-9CEB-1E6B0D0B5E53}" uniqueName="109" name="Lesson 4_x000a_Date _x000a_(DD-MMM-YYYY)" queryTableFieldId="113" dataDxfId="662"/>
    <tableColumn id="108" xr3:uid="{C629B68F-B4F1-497D-BF9D-7E31DD36E5AE}" uniqueName="108" name="Lesson 4 (DOW)" queryTableFieldId="112" dataDxfId="661">
      <calculatedColumnFormula>WEEKDAY([4]!Sheet_1_Table_1_13[[#This Row],[Lesson 4
Date 
(DD-MMM-YYYY)]])</calculatedColumnFormula>
    </tableColumn>
    <tableColumn id="117" xr3:uid="{6AD9D619-8C92-41CF-B91D-AA5BE03285EE}" uniqueName="117" name="Lesson 4_x000a_Start Time_x000a_(HH:MM)" queryTableFieldId="121" dataDxfId="660"/>
    <tableColumn id="64" xr3:uid="{D2641D8B-3CDA-4EF8-87F9-DA8F65265747}" uniqueName="64" name="Lesson 4_x000a_End Time_x000a_(HH:MM)" queryTableFieldId="166" dataDxfId="659"/>
    <tableColumn id="107" xr3:uid="{A0AC3B58-00DC-4FCB-9FA1-C65D295EFFA3}" uniqueName="107" name="Lesson 4_x000a_ Venue" queryTableFieldId="111" dataDxfId="658"/>
    <tableColumn id="122" xr3:uid="{0900E8C5-53A3-4BF9-87C9-A9D2AA821051}" uniqueName="122" name="Lesson 5_x000a_Date _x000a_(DD-MMM-YYYY)" queryTableFieldId="130" dataDxfId="657"/>
    <tableColumn id="123" xr3:uid="{DFC3A0A2-91C5-4300-AE52-DFD7AD7A8B85}" uniqueName="123" name="Lesson 5 (DOW)" queryTableFieldId="129" dataDxfId="656">
      <calculatedColumnFormula>WEEKDAY([4]!Sheet_1_Table_1_13[[#This Row],[Lesson 5
Date 
(DD-MMM-YYYY)]])</calculatedColumnFormula>
    </tableColumn>
    <tableColumn id="124" xr3:uid="{65F5AF6E-19D5-4DC5-AD9F-86D962561408}" uniqueName="124" name="Lesson 5_x000a_Start Time_x000a_(HH:MM)" queryTableFieldId="128" dataDxfId="655"/>
    <tableColumn id="65" xr3:uid="{CF9A3AC8-B263-48B6-9535-B13C252FE81F}" uniqueName="65" name="Lesson 5_x000a_End Time_x000a_(HH:MM)" queryTableFieldId="167" dataDxfId="654"/>
    <tableColumn id="125" xr3:uid="{3A467DD9-C6BE-4A59-81D1-8F5AC079289B}" uniqueName="125" name="Lesson 5_x000a_ Venue" queryTableFieldId="127" dataDxfId="653"/>
    <tableColumn id="118" xr3:uid="{1801120D-CED7-4E71-A547-E782D3E7F1C7}" uniqueName="118" name="Lesson 6_x000a_Date _x000a_(DD-MMM-YYYY)" queryTableFieldId="126" dataDxfId="652"/>
    <tableColumn id="119" xr3:uid="{A51A7B24-AF66-40EB-85FD-0A17AA665AFE}" uniqueName="119" name="Lesson 6 (DOW)" queryTableFieldId="125" dataDxfId="651">
      <calculatedColumnFormula>WEEKDAY([4]!Sheet_1_Table_1_13[[#This Row],[Lesson 6
Date 
(DD-MMM-YYYY)]])</calculatedColumnFormula>
    </tableColumn>
    <tableColumn id="120" xr3:uid="{D6A37EAD-A368-4A11-8BB9-D7EA094C4A7F}" uniqueName="120" name="Lesson 6_x000a_Start Time_x000a_(HH:MM)" queryTableFieldId="124" dataDxfId="650"/>
    <tableColumn id="43" xr3:uid="{4C5180CB-0B0F-49A0-8195-B0230000E5D9}" uniqueName="43" name="Lesson 6_x000a_End Time_x000a_(HH:MM)" queryTableFieldId="162" dataDxfId="649"/>
    <tableColumn id="121" xr3:uid="{D7EAA09D-2D4F-40CA-B22A-37AEE2A31766}" uniqueName="121" name="Lesson 6_x000a_ Venue" queryTableFieldId="123" dataDxfId="648"/>
    <tableColumn id="21" xr3:uid="{F78B37D5-37ED-4028-B38D-5AC6A78FBB7D}" uniqueName="21" name="Instructor / Speaker (1)_x000a_Title" queryTableFieldId="132" dataDxfId="647"/>
    <tableColumn id="34" xr3:uid="{356217A1-AA90-4B39-9CD8-447E669D8B93}" uniqueName="34" name="Instructor / Speaker (1)_x000a_First Name" queryTableFieldId="34" dataDxfId="646"/>
    <tableColumn id="30" xr3:uid="{43DCE7E7-28BC-4B30-B6B5-A0B79A4AC57E}" uniqueName="30" name="Instructor / Speaker (1)_x000a_Last Name _x000a_(in CAPITAL letter)" queryTableFieldId="133" dataDxfId="645"/>
    <tableColumn id="35" xr3:uid="{0741A0BD-3481-49A6-8326-B1FC0BED4E72}" uniqueName="35" name="Instructor / Speaker (1)_x000a_Job Title" queryTableFieldId="35" dataDxfId="644"/>
    <tableColumn id="37" xr3:uid="{89486FFD-D37D-4965-A2DE-E2C786B0DCEC}" uniqueName="37" name="Instructor / Speaker (2)_x000a_Title" queryTableFieldId="137" dataDxfId="643"/>
    <tableColumn id="36" xr3:uid="{4A0DCB0C-6DFF-432D-949D-A50458C8BC30}" uniqueName="36" name="Instructor / Speaker (2)_x000a_First Name" queryTableFieldId="136" dataDxfId="642"/>
    <tableColumn id="32" xr3:uid="{D8F49CBD-2CA3-47B7-8480-2C4B617AF061}" uniqueName="32" name="Instructor / Speaker (2)_x000a_Last Name _x000a_(in CAPITAL letter)" queryTableFieldId="135" dataDxfId="641"/>
    <tableColumn id="31" xr3:uid="{8EE71A8D-0964-4F29-B82D-49C1FD6A0C4E}" uniqueName="31" name="Instructor / Speaker (2)_x000a_Job Title" queryTableFieldId="134" dataDxfId="640"/>
    <tableColumn id="40" xr3:uid="{C9E8072D-8C28-4A5E-BD89-5BD65C65422D}" uniqueName="40" name="Fees" queryTableFieldId="179" dataDxfId="639"/>
    <tableColumn id="78" xr3:uid="{5D43FCB7-9578-4BA5-9AA6-AFC2191A0FD8}" uniqueName="78" name="Deposits" queryTableFieldId="79" dataDxfId="638"/>
    <tableColumn id="38" xr3:uid="{8AFCECCC-C03E-41DD-A121-B945B5EB3BAE}" uniqueName="38" name="Assembly Time _x000a_(for Off-campus Visit)" queryTableFieldId="38" dataDxfId="637"/>
    <tableColumn id="69" xr3:uid="{A0DC8BA0-836F-49E7-B278-904F3B4B1B47}" uniqueName="69" name="Assembly Location_x000a_(for Off-campus Visit)" queryTableFieldId="172" dataDxfId="636"/>
    <tableColumn id="39" xr3:uid="{80EFEAA8-228E-4CCC-9F95-94E59D32CF5C}" uniqueName="39" name="Remarks to Students (if applicable)" queryTableFieldId="39" dataDxfId="635"/>
    <tableColumn id="70" xr3:uid="{98AD68CB-CF8F-4934-8BDE-960ABDFA2136}" uniqueName="70" name="Zoom URL_x000a_(if any)" queryTableFieldId="183" dataDxfId="634"/>
    <tableColumn id="42" xr3:uid="{82CD7B03-A110-4178-BAF8-E860660C413E}" uniqueName="42" name="Meeting ID_x000a_(if any)" queryTableFieldId="181" dataDxfId="633"/>
    <tableColumn id="41" xr3:uid="{F765CC09-1EAC-4713-9BBA-C2D55B88B34B}" uniqueName="41" name="Meeting Passcode_x000a_(if any)" queryTableFieldId="180" dataDxfId="632"/>
    <tableColumn id="72" xr3:uid="{8BE07292-6C9F-4E0D-8DCF-0233021B6BF6}" uniqueName="72" name="Programme In-charge 1_x000a_Name" queryTableFieldId="184" dataDxfId="631"/>
    <tableColumn id="73" xr3:uid="{00A79BFA-E82D-4BFF-B308-99AC6C1CEFC0}" uniqueName="73" name="Programme In-charge 1_x000a_Email" queryTableFieldId="185" dataDxfId="630"/>
    <tableColumn id="45" xr3:uid="{E12816DD-F42D-46EE-87A7-077910C76EAD}" uniqueName="45" name="Programme In-charge 2_x000a_Name" queryTableFieldId="45" dataDxfId="629"/>
    <tableColumn id="46" xr3:uid="{E4DFDF1B-EEB5-401D-AE96-66AC12E87445}" uniqueName="46" name="Programme In-charge 2_x000a_Email" queryTableFieldId="46" dataDxfId="628"/>
    <tableColumn id="49" xr3:uid="{8A1BA69C-76D2-4131-9758-F7BFDDCF1750}" uniqueName="49" name="Sustainable Development Goals (Y/N)" queryTableFieldId="49" dataDxfId="627"/>
    <tableColumn id="50" xr3:uid="{5FFC2E32-5CA2-40E3-AB0F-B0A409E64E4E}" uniqueName="50" name="SDG1 _x000a_No Poverty" queryTableFieldId="50" dataDxfId="626"/>
    <tableColumn id="51" xr3:uid="{DBAE042D-3250-4ACE-8FB4-B41C35C1467E}" uniqueName="51" name="SDG2_x000a_Zero Hunger" queryTableFieldId="51" dataDxfId="625"/>
    <tableColumn id="52" xr3:uid="{3E8FD7CA-C338-4CA2-B3EC-84E92D66CF3E}" uniqueName="52" name="SDG3_x000a_Good Health and well-being" queryTableFieldId="52" dataDxfId="624"/>
    <tableColumn id="53" xr3:uid="{7FB441CC-7ECB-4A31-A30B-B5A2071ACC99}" uniqueName="53" name="SDG4_x000a_Quality Education" queryTableFieldId="53" dataDxfId="623"/>
    <tableColumn id="54" xr3:uid="{2F4AEF97-B18D-4CAE-ACFB-BB8A5B840A03}" uniqueName="54" name="SDG5_x000a_ Gender Equality" queryTableFieldId="54" dataDxfId="622"/>
    <tableColumn id="101" xr3:uid="{F9B987B8-DFCD-4F17-AD6F-41D153E48D8B}" uniqueName="101" name="SDG6_x000a_ Clean Water &amp; Sanitation" queryTableFieldId="102" dataDxfId="621"/>
    <tableColumn id="100" xr3:uid="{CFC71505-FD90-4B83-9673-29A0BE2AB232}" uniqueName="100" name="SDG7 Affordable &amp; Clean Energy" queryTableFieldId="101" dataDxfId="620"/>
    <tableColumn id="99" xr3:uid="{0B7BC176-D754-44F8-8D59-1E1AFB83C0AE}" uniqueName="99" name="SDG8 _x000a_Decent Work &amp; Economic Growth" queryTableFieldId="100" dataDxfId="619"/>
    <tableColumn id="98" xr3:uid="{8871732D-FA4F-4214-BCFC-908299A3DE32}" uniqueName="98" name="SDG9_x000a_Industry, Innovation &amp; Infrastructure" queryTableFieldId="99" dataDxfId="618"/>
    <tableColumn id="97" xr3:uid="{4228A4FF-CC11-4EE8-8F6F-18AE15210DC2}" uniqueName="97" name="SDG10_x000a_ Reduced inequalities" queryTableFieldId="98" dataDxfId="617"/>
    <tableColumn id="96" xr3:uid="{85181828-A336-4CC4-8762-0C44A3C79AD7}" uniqueName="96" name="SDG11 Sustainable Cities &amp; Communities" queryTableFieldId="97" dataDxfId="616"/>
    <tableColumn id="95" xr3:uid="{162CD17F-2317-4970-82E9-69607BEEADD3}" uniqueName="95" name="SDG12 Responsible Consumption &amp; Production" queryTableFieldId="96" dataDxfId="615"/>
    <tableColumn id="94" xr3:uid="{2A601848-1C12-4E32-A815-FF48D830EB28}" uniqueName="94" name="SDG13_x000a_ Climate Action" queryTableFieldId="95" dataDxfId="614"/>
    <tableColumn id="93" xr3:uid="{2FA09567-16AB-4B0B-8359-A8B8AC5C39ED}" uniqueName="93" name="SDG14_x000a_Life Below Water" queryTableFieldId="94" dataDxfId="613"/>
    <tableColumn id="92" xr3:uid="{AF8F77B5-C225-4479-B7B5-98F7DA29E512}" uniqueName="92" name="SDG15 _x000a_Life on Land" queryTableFieldId="93" dataDxfId="612"/>
    <tableColumn id="91" xr3:uid="{431E7037-89C6-495C-937F-CF903BC4E0EB}" uniqueName="91" name="SDG16 Peace, Justice &amp; Strong Institutions" queryTableFieldId="92" dataDxfId="611"/>
    <tableColumn id="90" xr3:uid="{6C771BA0-E313-4216-9014-E65551D541D8}" uniqueName="90" name="SDG17 Partnerships for the Goals" queryTableFieldId="91" dataDxfId="610"/>
    <tableColumn id="63" xr3:uid="{F1A01C60-F697-4733-A5F9-E839B275D89E}" uniqueName="63" name="Country/Place" queryTableFieldId="64" dataDxfId="609"/>
    <tableColumn id="83" xr3:uid="{06A2386C-4F2C-42A1-8FF4-C68D22926E74}" uniqueName="83" name="Credit Type" queryTableFieldId="84" dataDxfId="608"/>
    <tableColumn id="84" xr3:uid="{6A74AE83-ECCB-458D-87BD-49ADE38226FD}" uniqueName="84" name="Data Type" queryTableFieldId="85" dataDxfId="607"/>
    <tableColumn id="61" xr3:uid="{37AE1747-9D55-4610-B3BB-FC6F00C83AA6}" uniqueName="61" name="UAA" queryTableFieldId="62" dataDxfId="606"/>
    <tableColumn id="86" xr3:uid="{9A2CA65F-F238-45B6-BBA9-B80148B1205B}" uniqueName="86" name="Programme Category" queryTableFieldId="87" dataDxfId="605"/>
    <tableColumn id="87" xr3:uid="{2FE55644-B8B3-4A85-9879-DB598AF4A5B1}" uniqueName="87" name="Whole Person Development Cocurriculum" queryTableFieldId="88" dataDxfId="604"/>
    <tableColumn id="88" xr3:uid="{69CB62C6-AC22-44D0-AA87-4B825EC59374}" uniqueName="88" name="Moral Education" queryTableFieldId="89" dataDxfId="603"/>
    <tableColumn id="89" xr3:uid="{FB1025A7-D4BB-45D7-B6A6-FD3E8C1D85EA}" uniqueName="89" name="Social Responsible Citizenship" queryTableFieldId="90" dataDxfId="602"/>
    <tableColumn id="47" xr3:uid="{0C051E3B-AAEC-4021-8571-4CF05AE95700}" uniqueName="47" name="Lingnan Language Enhancement Initiative (L2EI)_x000a_(Y/N)" queryTableFieldId="186" dataDxfId="601"/>
    <tableColumn id="25" xr3:uid="{CF0A9AAF-696A-439D-B660-2E17973E2AE7}" uniqueName="25" name="Leadership Enhancement Programme (LEP)_x000a_(Y/N)" queryTableFieldId="25" dataDxfId="600"/>
    <tableColumn id="66" xr3:uid="{869262EB-1F18-4657-948C-98B631B1E9AA}" uniqueName="66" name="TALENT - The Lingnan iPortfolio" queryTableFieldId="169" dataDxfId="599"/>
    <tableColumn id="67" xr3:uid="{9B5221BA-E1F8-4B98-8E59-FAF607557E73}" uniqueName="67" name="Has Registration" queryTableFieldId="170" dataDxfId="598"/>
    <tableColumn id="68" xr3:uid="{00BB99DF-7353-4C4D-BB11-59AF694A99CF}" uniqueName="68" name="OSA Portal Registration" queryTableFieldId="171" dataDxfId="59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M74" tableType="queryTable" totalsRowShown="0" headerRowDxfId="596" dataDxfId="594" headerRowBorderDxfId="595" tableBorderDxfId="593" totalsRowBorderDxfId="592">
  <autoFilter ref="B2:DM74" xr:uid="{A40E3A6D-1066-4C6D-8DC4-5DAEE3358E36}"/>
  <sortState xmlns:xlrd2="http://schemas.microsoft.com/office/spreadsheetml/2017/richdata2" ref="B3:DM51">
    <sortCondition ref="AK2:AK51"/>
  </sortState>
  <tableColumns count="116">
    <tableColumn id="1" xr3:uid="{345C6DDB-9671-476F-B132-90853C8C1D91}" uniqueName="1" name="Term" queryTableFieldId="1" dataDxfId="591"/>
    <tableColumn id="2" xr3:uid="{6D4C7AC7-B5B9-4F19-BD1A-0E14DDF13E31}" uniqueName="2" name="Course Code" queryTableFieldId="2" dataDxfId="590"/>
    <tableColumn id="3" xr3:uid="{192AC056-1847-40F8-8F82-72A8051AC876}" uniqueName="3" name="Part of Terms" queryTableFieldId="3" dataDxfId="589"/>
    <tableColumn id="4" xr3:uid="{4E86B21C-621F-4F75-AC71-7F5FBA8D9431}" uniqueName="4" name="CRN" queryTableFieldId="4" dataDxfId="588"/>
    <tableColumn id="59" xr3:uid="{859EC33A-F60A-4770-96AE-FC4B88DA9B2B}" uniqueName="59" name="Department / Unit" queryTableFieldId="59" dataDxfId="587"/>
    <tableColumn id="33" xr3:uid="{D78F8969-587E-45D9-B0D2-8886CD1CDB3C}" uniqueName="33" name="Team" queryTableFieldId="176" dataDxfId="586"/>
    <tableColumn id="5" xr3:uid="{3091CDF5-6012-4964-9133-F4717F706094}" uniqueName="5" name="Series Name (Chi)" queryTableFieldId="5" dataDxfId="585"/>
    <tableColumn id="6" xr3:uid="{6235A10E-1A74-408E-97F6-F19A95C8E022}" uniqueName="6" name="Series Name (Eng)" queryTableFieldId="6" dataDxfId="584"/>
    <tableColumn id="7" xr3:uid="{7DDA894D-ECC7-4EDF-8AC8-EF30AC14EA39}" uniqueName="7" name="Activity Title (Chi)" queryTableFieldId="7" dataDxfId="583"/>
    <tableColumn id="8" xr3:uid="{8D6FDFBB-4A7C-4F40-941E-7AC46955A39C}" uniqueName="8" name="Activity Title (Eng)" queryTableFieldId="8" dataDxfId="582"/>
    <tableColumn id="57" xr3:uid="{9A69982E-D8AE-417A-9CB1-E4087BC3F1B3}" uniqueName="57" name="Session Title" queryTableFieldId="57" dataDxfId="581"/>
    <tableColumn id="9" xr3:uid="{438844F7-10E9-4996-BFB3-AD8D4E624201}" uniqueName="9" name="Objectives / Expected Learning Outcomes (Eng)" queryTableFieldId="9" dataDxfId="580"/>
    <tableColumn id="10" xr3:uid="{36B02FFC-4E2E-4F57-9B09-61AA1E65D3D8}" uniqueName="10" name="Description (Eng)" queryTableFieldId="10" dataDxfId="579"/>
    <tableColumn id="55" xr3:uid="{2935BF27-E3C1-4A81-AEC4-C6D246AD5045}" uniqueName="55" name="Include in Online Registration? _x000a_(Y/N)" queryTableFieldId="55" dataDxfId="578"/>
    <tableColumn id="44" xr3:uid="{1C780AA2-B80A-4263-B285-96DF37EDDDB7}" uniqueName="44" name="Send Auto-reminder? _x000a_(Y/N)" queryTableFieldId="178" dataDxfId="577"/>
    <tableColumn id="75" xr3:uid="{5284AB7B-E6EB-441C-B5EF-DB1DF7E75076}" uniqueName="75" name="Learning Domain" queryTableFieldId="76" dataDxfId="576"/>
    <tableColumn id="11" xr3:uid="{683D7AC2-9C55-4506-95FD-2431484CF333}" uniqueName="11" name="Learning Domain (Short)" queryTableFieldId="11" dataDxfId="575"/>
    <tableColumn id="12" xr3:uid="{887AA638-1DA6-4850-8C31-BC67F4263E38}" uniqueName="12" name="Leadership LS" queryTableFieldId="12" dataDxfId="574"/>
    <tableColumn id="13" xr3:uid="{A5480438-52AB-40B6-A4AE-AB4ACFD85EB5}" uniqueName="13" name="Entrepreneurship ENT" queryTableFieldId="13" dataDxfId="573"/>
    <tableColumn id="14" xr3:uid="{C05D8155-D25A-4B0C-9F16-22922F2AC532}" uniqueName="14" name="Well-being (Physical) WBP" queryTableFieldId="14" dataDxfId="572"/>
    <tableColumn id="15" xr3:uid="{22C604ED-4C37-4EA5-A62D-E3EB28792BCB}" uniqueName="15" name="Well-being (Mental) WBM" queryTableFieldId="15" dataDxfId="571"/>
    <tableColumn id="16" xr3:uid="{86AF3943-2F6D-4D20-B542-5F3AB13B3A8A}" uniqueName="16" name="Language Enhancement LE" queryTableFieldId="16" dataDxfId="570"/>
    <tableColumn id="17" xr3:uid="{E4E6A344-2854-4CAF-8CA7-6FA62B5A0E47}" uniqueName="17" name="Cross-Cultural Appreciation_x000a_&amp; Integration CCAI" queryTableFieldId="17" dataDxfId="569"/>
    <tableColumn id="18" xr3:uid="{E604612C-428D-4C79-A8BD-AF6DDF3E9FEB}" uniqueName="18" name="Sustainability SUS" queryTableFieldId="18" dataDxfId="568"/>
    <tableColumn id="19" xr3:uid="{22B288B1-C6D8-47F7-BADA-7D212FC85D08}" uniqueName="19" name="Digital Literacy DL" queryTableFieldId="19" dataDxfId="567"/>
    <tableColumn id="20" xr3:uid="{5224CF36-41DC-41E8-BB7F-49F5EE5EE980}" uniqueName="20" name="Career Development  CR" queryTableFieldId="20" dataDxfId="566"/>
    <tableColumn id="22" xr3:uid="{C7DFD695-5770-41D4-8986-54942418E933}" uniqueName="22" name="Total" queryTableFieldId="22" dataDxfId="565"/>
    <tableColumn id="106" xr3:uid="{A044A788-1A95-4022-818A-7E5D8CFC7569}" uniqueName="106" name="Programme Type" queryTableFieldId="110" dataDxfId="564"/>
    <tableColumn id="23" xr3:uid="{7AA14734-E685-42A8-8D40-579C76E30899}" uniqueName="23" name="Delivery Mode" queryTableFieldId="23" dataDxfId="563"/>
    <tableColumn id="24" xr3:uid="{AA7ADF04-6364-40D4-8640-9D5AF8A75C11}" uniqueName="24" name="Medium_x000a_of Instruction_x000a_(ENG)" queryTableFieldId="24" dataDxfId="562"/>
    <tableColumn id="77" xr3:uid="{A70927C6-AEE2-4571-B033-5D32B78DE73A}" uniqueName="77" name="Medium_x000a_of Instruction_x000a_(Cantonese)" queryTableFieldId="78" dataDxfId="561"/>
    <tableColumn id="76" xr3:uid="{59925954-336D-4B0D-B0D5-FBC8E53BF79D}" uniqueName="76" name="Medium_x000a_of Instruction_x000a_(PTH)" queryTableFieldId="77" dataDxfId="560"/>
    <tableColumn id="26" xr3:uid="{41A7B763-8E6E-49AB-B639-CBD011C233FC}" uniqueName="26" name="ILP Units Per Session" queryTableFieldId="26" dataDxfId="559"/>
    <tableColumn id="27" xr3:uid="{AEE45615-B943-4EF9-901A-375522132758}" uniqueName="27" name="Quota" queryTableFieldId="27" dataDxfId="558"/>
    <tableColumn id="28" xr3:uid="{72EE6D6D-C0FB-4EFA-A62C-37307DB76F9D}" uniqueName="28" name="Total Units to be Offered" queryTableFieldId="28" dataDxfId="557"/>
    <tableColumn id="29" xr3:uid="{1C849655-B209-45C5-8CBF-388F0E8DBF0A}" uniqueName="29" name="Lesson 1 _x000a_Date _x000a_(DD-MMM-YYYY)" queryTableFieldId="29" dataDxfId="556"/>
    <tableColumn id="105" xr3:uid="{461B46C3-25F7-4891-BADB-D0F87B8AAE64}" uniqueName="105" name="Lesson 1 (DOW)" queryTableFieldId="109" dataDxfId="555">
      <calculatedColumnFormula>WEEKDAY(Sheet_1_Table_1_134[[#This Row],[Lesson 1 
Date 
(DD-MMM-YYYY)]])</calculatedColumnFormula>
    </tableColumn>
    <tableColumn id="103" xr3:uid="{867D0775-F943-48A8-BD67-35B320872AD9}" uniqueName="103" name="Lesson 1 _x000a_Start Time_x000a_(HH:MM)" queryTableFieldId="107" dataDxfId="554"/>
    <tableColumn id="56" xr3:uid="{21C792CC-415D-4371-80A6-3E7B253D7479}" uniqueName="56" name="Lesson 1_x000a_End Time_x000a_(HH:MM)" queryTableFieldId="163" dataDxfId="553"/>
    <tableColumn id="58" xr3:uid="{85F4D049-859B-41B7-AAF4-A14F4B8E7FE4}" uniqueName="58" name="Lesson 1 _x000a_Venue" queryTableFieldId="58" dataDxfId="552"/>
    <tableColumn id="113" xr3:uid="{A3791DAC-B2D1-43C5-AFA7-83C3B1283B7F}" uniqueName="113" name="Lesson 2_x000a_Date _x000a_(DD-MMM-YYYY)" queryTableFieldId="120" dataDxfId="551"/>
    <tableColumn id="114" xr3:uid="{FE2BEE25-1D42-4A30-9BA0-3B9A759EC189}" uniqueName="114" name="Lesson 2 (DOW)" queryTableFieldId="119" dataDxfId="550">
      <calculatedColumnFormula>WEEKDAY(Sheet_1_Table_1_134[[#This Row],[Lesson 2
Date 
(DD-MMM-YYYY)]])</calculatedColumnFormula>
    </tableColumn>
    <tableColumn id="115" xr3:uid="{3425014C-4675-429B-988E-F1625AE8625E}" uniqueName="115" name="Lesson 2_x000a_Start Time_x000a_(HH:MM)" queryTableFieldId="118" dataDxfId="549"/>
    <tableColumn id="60" xr3:uid="{EC914E46-AF95-4470-9537-B4D5F76E8105}" uniqueName="60" name="Lesson 2_x000a_End Time_x000a_(HH:MM)" queryTableFieldId="164" dataDxfId="548"/>
    <tableColumn id="116" xr3:uid="{0C393DF9-C45B-4675-A855-0C06054D6AEF}" uniqueName="116" name="Lesson 2_x000a_ Venue" queryTableFieldId="117" dataDxfId="547"/>
    <tableColumn id="104" xr3:uid="{A6AC1AF4-84B2-4FD2-BBA1-D81F23333D40}" uniqueName="104" name="Lesson 3_x000a_Date _x000a_(DD-MMM-YYYY)" queryTableFieldId="108" dataDxfId="546"/>
    <tableColumn id="112" xr3:uid="{C8A27A1E-5CB7-4C63-A69F-6531611EF606}" uniqueName="112" name="Lesson 3 (DOW)" queryTableFieldId="116" dataDxfId="545">
      <calculatedColumnFormula>WEEKDAY(Sheet_1_Table_1_134[[#This Row],[Lesson 3
Date 
(DD-MMM-YYYY)]])</calculatedColumnFormula>
    </tableColumn>
    <tableColumn id="111" xr3:uid="{F0C74ADB-0DA0-4A54-A289-F212088F8373}" uniqueName="111" name="Lesson 3_x000a_Start Time_x000a_(HH:MM)" queryTableFieldId="115" dataDxfId="544"/>
    <tableColumn id="62" xr3:uid="{6666641C-1169-40EF-8FE7-58A307696F36}" uniqueName="62" name="Lesson 3_x000a_End Time_x000a_(HH:MM)" queryTableFieldId="165" dataDxfId="543"/>
    <tableColumn id="110" xr3:uid="{AF3041DA-4272-4C35-B4E2-2C3EDC74D0FA}" uniqueName="110" name="Lesson 3_x000a_ Venue" queryTableFieldId="114" dataDxfId="542"/>
    <tableColumn id="109" xr3:uid="{F7A20110-050A-4634-BE2D-357E58737B3F}" uniqueName="109" name="Lesson 4_x000a_Date _x000a_(DD-MMM-YYYY)" queryTableFieldId="113" dataDxfId="541"/>
    <tableColumn id="108" xr3:uid="{73E2BBC0-559A-4B69-878C-E29A27097561}" uniqueName="108" name="Lesson 4 (DOW)" queryTableFieldId="112" dataDxfId="540">
      <calculatedColumnFormula>WEEKDAY(Sheet_1_Table_1_134[[#This Row],[Lesson 4
Date 
(DD-MMM-YYYY)]])</calculatedColumnFormula>
    </tableColumn>
    <tableColumn id="117" xr3:uid="{390F336B-BFAA-4C24-B0D3-8C7A82AE7CC1}" uniqueName="117" name="Lesson 4_x000a_Start Time_x000a_(HH:MM)" queryTableFieldId="121" dataDxfId="539"/>
    <tableColumn id="64" xr3:uid="{3245D2CA-54C6-4375-9E3A-14C87D3A79AB}" uniqueName="64" name="Lesson 4_x000a_End Time_x000a_(HH:MM)" queryTableFieldId="166" dataDxfId="538"/>
    <tableColumn id="107" xr3:uid="{FADE2270-59ED-4EBF-AA0D-0626727C4BAF}" uniqueName="107" name="Lesson 4_x000a_ Venue" queryTableFieldId="111" dataDxfId="537"/>
    <tableColumn id="122" xr3:uid="{144C7B43-8EC3-4BD0-81F5-B789A827F764}" uniqueName="122" name="Lesson 5_x000a_Date _x000a_(DD-MMM-YYYY)" queryTableFieldId="130" dataDxfId="536"/>
    <tableColumn id="123" xr3:uid="{986559F6-2746-4528-B514-B1E9BE8037CA}" uniqueName="123" name="Lesson 5 (DOW)" queryTableFieldId="129" dataDxfId="535">
      <calculatedColumnFormula>WEEKDAY(Sheet_1_Table_1_134[[#This Row],[Lesson 5
Date 
(DD-MMM-YYYY)]])</calculatedColumnFormula>
    </tableColumn>
    <tableColumn id="124" xr3:uid="{75E3B596-D104-4686-896B-380EC849DD8E}" uniqueName="124" name="Lesson 5_x000a_Start Time_x000a_(HH:MM)" queryTableFieldId="128" dataDxfId="534"/>
    <tableColumn id="65" xr3:uid="{4135AB9F-C055-4D19-9C88-E69A58AFBF51}" uniqueName="65" name="Lesson 5_x000a_End Time_x000a_(HH:MM)" queryTableFieldId="167" dataDxfId="533"/>
    <tableColumn id="125" xr3:uid="{9FA48A8C-4078-4D86-8822-0E4003F679F6}" uniqueName="125" name="Lesson 5_x000a_ Venue" queryTableFieldId="127" dataDxfId="532"/>
    <tableColumn id="118" xr3:uid="{1086449E-87EE-4F3F-A2D4-7B1555C84D7B}" uniqueName="118" name="Lesson 6_x000a_Date _x000a_(DD-MMM-YYYY)" queryTableFieldId="126" dataDxfId="531"/>
    <tableColumn id="119" xr3:uid="{97D3DF6B-9957-47B1-8D62-E1A3D3D1C56E}" uniqueName="119" name="Lesson 6 (DOW)" queryTableFieldId="125" dataDxfId="530">
      <calculatedColumnFormula>WEEKDAY(Sheet_1_Table_1_134[[#This Row],[Lesson 6
Date 
(DD-MMM-YYYY)]])</calculatedColumnFormula>
    </tableColumn>
    <tableColumn id="120" xr3:uid="{DF65F627-DEE6-4CA0-AC82-4F2921A6E376}" uniqueName="120" name="Lesson 6_x000a_Start Time_x000a_(HH:MM)" queryTableFieldId="124" dataDxfId="529"/>
    <tableColumn id="43" xr3:uid="{1D5687BB-E482-4642-8F28-35328B29D284}" uniqueName="43" name="Lesson 6_x000a_End Time_x000a_(HH:MM)" queryTableFieldId="162" dataDxfId="528"/>
    <tableColumn id="121" xr3:uid="{BED5C65F-4DE1-4BA5-BA39-7011BD21BF09}" uniqueName="121" name="Lesson 6_x000a_ Venue" queryTableFieldId="123" dataDxfId="527"/>
    <tableColumn id="21" xr3:uid="{0C1D5AFF-6A1D-4027-8DB5-D7D68E996DA8}" uniqueName="21" name="Instructor / Speaker (1)_x000a_Title" queryTableFieldId="132" dataDxfId="526"/>
    <tableColumn id="34" xr3:uid="{740C3496-325B-43B8-A616-BF415D107D48}" uniqueName="34" name="Instructor / Speaker (1)_x000a_First Name" queryTableFieldId="34" dataDxfId="525"/>
    <tableColumn id="30" xr3:uid="{DC8061E4-8F39-4F20-AC1A-8CB33DB6F715}" uniqueName="30" name="Instructor / Speaker (1)_x000a_Last Name _x000a_(in CAPITAL letter)" queryTableFieldId="133" dataDxfId="524"/>
    <tableColumn id="35" xr3:uid="{E485C282-9F3C-4ED3-BCE0-E90D5E04CF2D}" uniqueName="35" name="Instructor / Speaker (1)_x000a_Job Title" queryTableFieldId="35" dataDxfId="523"/>
    <tableColumn id="37" xr3:uid="{CC7863B6-6CE9-49EE-9822-5345541AF0A4}" uniqueName="37" name="Instructor / Speaker (2)_x000a_Title" queryTableFieldId="137" dataDxfId="522"/>
    <tableColumn id="36" xr3:uid="{8A8F085F-9ED2-4860-B2AF-83A49157FBC4}" uniqueName="36" name="Instructor / Speaker (2)_x000a_First Name" queryTableFieldId="136" dataDxfId="521"/>
    <tableColumn id="32" xr3:uid="{2F36FD22-4F0D-4FC7-9821-4194B3FFD08E}" uniqueName="32" name="Instructor / Speaker (2)_x000a_Last Name _x000a_(in CAPITAL letter)" queryTableFieldId="135" dataDxfId="520"/>
    <tableColumn id="31" xr3:uid="{E2A0B313-FC0E-466F-A41B-6D43E6D6DEA9}" uniqueName="31" name="Instructor / Speaker (2)_x000a_Job Title" queryTableFieldId="134" dataDxfId="519"/>
    <tableColumn id="40" xr3:uid="{61E3371A-CB36-45E3-8C27-5B928526A822}" uniqueName="40" name="Fees" queryTableFieldId="179" dataDxfId="518"/>
    <tableColumn id="78" xr3:uid="{CB4FA334-7258-4E71-8055-60166F1EDE07}" uniqueName="78" name="Deposits" queryTableFieldId="79" dataDxfId="517"/>
    <tableColumn id="38" xr3:uid="{0EA73AF9-361F-4379-B0BB-42421D03FE17}" uniqueName="38" name="Assembly Time _x000a_(for Off-campus Visit)" queryTableFieldId="38" dataDxfId="516"/>
    <tableColumn id="69" xr3:uid="{1DB41F94-531A-4F0E-82F5-4DD778C39ED2}" uniqueName="69" name="Assembly Location_x000a_(for Off-campus Visit)" queryTableFieldId="172" dataDxfId="515"/>
    <tableColumn id="39" xr3:uid="{806A2C80-FCDE-4055-8910-1137E097863E}" uniqueName="39" name="Remarks to Students (if applicable)" queryTableFieldId="39" dataDxfId="514"/>
    <tableColumn id="70" xr3:uid="{243BE583-1B6B-4054-9E32-46582EF9DF13}" uniqueName="70" name="Zoom URL_x000a_(if any)" queryTableFieldId="183" dataDxfId="513"/>
    <tableColumn id="42" xr3:uid="{71BDDF02-B7F6-4B66-B735-C61B2512309E}" uniqueName="42" name="Meeting ID_x000a_(if any)" queryTableFieldId="181" dataDxfId="512"/>
    <tableColumn id="41" xr3:uid="{FA422B48-EB4C-44A7-92B5-A27AB2455502}" uniqueName="41" name="Meeting Passcode_x000a_(if any)" queryTableFieldId="180" dataDxfId="511"/>
    <tableColumn id="72" xr3:uid="{073837C3-E6E4-4C07-8361-12F8B8630682}" uniqueName="72" name="Programme In-charge 1_x000a_Name" queryTableFieldId="184" dataDxfId="510"/>
    <tableColumn id="73" xr3:uid="{F750A850-C750-4165-B0CC-8544E7B884DE}" uniqueName="73" name="Programme In-charge 1_x000a_Email" queryTableFieldId="185" dataDxfId="509"/>
    <tableColumn id="45" xr3:uid="{A3501317-A426-4E7F-9690-2917255529BA}" uniqueName="45" name="Programme In-charge 2_x000a_Name" queryTableFieldId="45" dataDxfId="508"/>
    <tableColumn id="46" xr3:uid="{8D025312-054F-48A0-AEA7-5623CA70939D}" uniqueName="46" name="Programme In-charge 2_x000a_Email" queryTableFieldId="46" dataDxfId="507"/>
    <tableColumn id="49" xr3:uid="{6308BB72-E36D-4CB1-B92D-9B17CBFA4CAD}" uniqueName="49" name="Sustainable Development Goals (Y/N)" queryTableFieldId="49" dataDxfId="506"/>
    <tableColumn id="50" xr3:uid="{120A268B-106C-4991-A9E6-D662859E3107}" uniqueName="50" name="SDG1 _x000a_No Poverty" queryTableFieldId="50" dataDxfId="505"/>
    <tableColumn id="51" xr3:uid="{B29B75E1-2FC7-49F8-B592-130ADF59030D}" uniqueName="51" name="SDG2_x000a_Zero Hunger" queryTableFieldId="51" dataDxfId="504"/>
    <tableColumn id="52" xr3:uid="{85AA11FB-9DA4-48A6-9E8F-32E20DB09AD9}" uniqueName="52" name="SDG3_x000a_Good Health and well-being" queryTableFieldId="52" dataDxfId="503"/>
    <tableColumn id="53" xr3:uid="{4FC06E35-739F-48F4-B4B1-2DBCBDAE11EB}" uniqueName="53" name="SDG4_x000a_Quality Education" queryTableFieldId="53" dataDxfId="502"/>
    <tableColumn id="54" xr3:uid="{94910628-E31D-4D15-9592-1C673FCE2CEB}" uniqueName="54" name="SDG5_x000a_ Gender Equality" queryTableFieldId="54" dataDxfId="501"/>
    <tableColumn id="101" xr3:uid="{17B9C5ED-86E5-4897-8942-F7020806772F}" uniqueName="101" name="SDG6_x000a_ Clean Water &amp; Sanitation" queryTableFieldId="102" dataDxfId="500"/>
    <tableColumn id="100" xr3:uid="{E726A44D-BDDA-43A4-8987-5413D83D320D}" uniqueName="100" name="SDG7 Affordable &amp; Clean Energy" queryTableFieldId="101" dataDxfId="499"/>
    <tableColumn id="99" xr3:uid="{0E299D26-7599-4E1B-BBF9-47ADCA78A2DC}" uniqueName="99" name="SDG8 _x000a_Decent Work &amp; Economic Growth" queryTableFieldId="100" dataDxfId="498"/>
    <tableColumn id="98" xr3:uid="{892FCE9F-B8BA-430D-9F92-D326055C8724}" uniqueName="98" name="SDG9_x000a_Industry, Innovation &amp; Infrastructure" queryTableFieldId="99" dataDxfId="497"/>
    <tableColumn id="97" xr3:uid="{3A0067A6-4F1B-4F02-8191-CF713B49227B}" uniqueName="97" name="SDG10_x000a_ Reduced inequalities" queryTableFieldId="98" dataDxfId="496"/>
    <tableColumn id="96" xr3:uid="{0126ED06-816A-4E20-84E8-A6C651B7F857}" uniqueName="96" name="SDG11 Sustainable Cities &amp; Communities" queryTableFieldId="97" dataDxfId="495"/>
    <tableColumn id="95" xr3:uid="{1111A74F-F4B3-4227-9531-0CFFEFAF94DA}" uniqueName="95" name="SDG12 Responsible Consumption &amp; Production" queryTableFieldId="96" dataDxfId="494"/>
    <tableColumn id="94" xr3:uid="{45C66274-9410-4FC9-9554-5CB1B0F13FAD}" uniqueName="94" name="SDG13_x000a_ Climate Action" queryTableFieldId="95" dataDxfId="493"/>
    <tableColumn id="93" xr3:uid="{B7F6D6D5-F9AF-4CA8-8B51-1CD75A6CBADB}" uniqueName="93" name="SDG14_x000a_Life Below Water" queryTableFieldId="94" dataDxfId="492"/>
    <tableColumn id="92" xr3:uid="{A9EA6BF7-4BBF-4D3E-80E3-606A35DAB5F6}" uniqueName="92" name="SDG15 _x000a_Life on Land" queryTableFieldId="93" dataDxfId="491"/>
    <tableColumn id="91" xr3:uid="{C1CFD9CF-91E3-48CD-9593-F54CFC1E9EDD}" uniqueName="91" name="SDG16 Peace, Justice &amp; Strong Institutions" queryTableFieldId="92" dataDxfId="490"/>
    <tableColumn id="90" xr3:uid="{989DE7FD-CC26-4B43-9005-C94F9C8C35BB}" uniqueName="90" name="SDG17 Partnerships for the Goals" queryTableFieldId="91" dataDxfId="489"/>
    <tableColumn id="63" xr3:uid="{A6658EA3-DA78-450B-B37B-BE4D5BAA0DB0}" uniqueName="63" name="Country/Place" queryTableFieldId="64" dataDxfId="488"/>
    <tableColumn id="83" xr3:uid="{EEA331C8-73CD-48D4-AA22-78D0E58C4190}" uniqueName="83" name="Credit Type" queryTableFieldId="84" dataDxfId="487"/>
    <tableColumn id="84" xr3:uid="{701335F3-9F37-4D3C-9482-833193BD5368}" uniqueName="84" name="Data Type" queryTableFieldId="85" dataDxfId="486"/>
    <tableColumn id="61" xr3:uid="{F672FD05-826A-4568-95E7-461A02CCE361}" uniqueName="61" name="UAA" queryTableFieldId="62" dataDxfId="485"/>
    <tableColumn id="86" xr3:uid="{F0834BCD-A9D8-4A93-9BA3-579A4DBC88E6}" uniqueName="86" name="Programme Category" queryTableFieldId="87" dataDxfId="484"/>
    <tableColumn id="87" xr3:uid="{1D0BABDA-1370-4F95-B9A4-A0083E1F3485}" uniqueName="87" name="Whole Person Development Cocurriculum" queryTableFieldId="88" dataDxfId="483"/>
    <tableColumn id="88" xr3:uid="{060A36AD-26F2-4BD5-8C0D-A44B77785DEF}" uniqueName="88" name="Moral Education" queryTableFieldId="89" dataDxfId="482"/>
    <tableColumn id="89" xr3:uid="{A7E3397E-1427-436C-9C30-05CC577169EE}" uniqueName="89" name="Social Responsible Citizenship" queryTableFieldId="90" dataDxfId="481"/>
    <tableColumn id="47" xr3:uid="{FF253809-BD67-449F-B04F-2A8E29D87C43}" uniqueName="47" name="Lingnan Language Enhancement Initiative (L2EI)_x000a_(Y/N)" queryTableFieldId="186" dataDxfId="480"/>
    <tableColumn id="25" xr3:uid="{A8D258F8-6160-4B51-BD3E-0BD660B4AE66}" uniqueName="25" name="Leadership Enhancement Programme (LEP)_x000a_(Y/N)" queryTableFieldId="25" dataDxfId="479"/>
    <tableColumn id="66" xr3:uid="{0DC4F36E-4A03-45B5-ACF6-CE6492283D72}" uniqueName="66" name="TALENT - The Lingnan iPortfolio" queryTableFieldId="169" dataDxfId="478"/>
    <tableColumn id="67" xr3:uid="{860719AA-AE4A-4885-A4A2-C3CE698A793E}" uniqueName="67" name="Has Registration" queryTableFieldId="170" dataDxfId="477"/>
    <tableColumn id="68" xr3:uid="{E0AAEB0F-EE3C-4F1B-A54E-F9F51A75B2B0}" uniqueName="68" name="OSA Portal Registration" queryTableFieldId="171" dataDxfId="47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838" dataDxfId="836" headerRowBorderDxfId="837" tableBorderDxfId="835" totalsRowBorderDxfId="834">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833"/>
    <tableColumn id="2" xr3:uid="{78B6606B-DC11-4618-B4D4-65B868ACFAB6}" uniqueName="2" name="Course Code" queryTableFieldId="2" dataDxfId="832"/>
    <tableColumn id="3" xr3:uid="{4AF47A3B-BC10-430E-AD12-C55DA3E9CEDB}" uniqueName="3" name="Part of Terms" queryTableFieldId="3" dataDxfId="831"/>
    <tableColumn id="4" xr3:uid="{E711E990-830A-493A-9E30-D1E0BF4DC675}" uniqueName="4" name="CRN" queryTableFieldId="4" dataDxfId="830"/>
    <tableColumn id="59" xr3:uid="{E5924613-B5A5-4BC1-8F77-2C1E7C047F15}" uniqueName="59" name="Department / Unit" queryTableFieldId="59" dataDxfId="829"/>
    <tableColumn id="33" xr3:uid="{B9A9889E-8B70-4D12-8FE8-3BA9DCF74A21}" uniqueName="33" name="Team" queryTableFieldId="176" dataDxfId="828"/>
    <tableColumn id="5" xr3:uid="{6585C4BC-D265-4F28-B77A-3CEF03DEF3EB}" uniqueName="5" name="Series Name (Chi)" queryTableFieldId="5" dataDxfId="827"/>
    <tableColumn id="6" xr3:uid="{4531446A-A5E4-44AD-9508-3D43BDF0A1AA}" uniqueName="6" name="Series Name (Eng)" queryTableFieldId="6" dataDxfId="826"/>
    <tableColumn id="7" xr3:uid="{1BE35D32-8791-4931-A698-8E72335179D7}" uniqueName="7" name="Activity Title (Chi)" queryTableFieldId="7" dataDxfId="825"/>
    <tableColumn id="8" xr3:uid="{B0DB1CB5-3551-4D7C-BEBD-E0DEFDD24189}" uniqueName="8" name="Activity Title (Eng)" queryTableFieldId="8" dataDxfId="824"/>
    <tableColumn id="57" xr3:uid="{89434EAD-3951-4F7D-ACD0-B714690AB2F5}" uniqueName="57" name="Session Title" queryTableFieldId="57" dataDxfId="823"/>
    <tableColumn id="9" xr3:uid="{BB47655B-6028-4205-BB8D-97EAE54B5DD0}" uniqueName="9" name="Objectives / Expected Learning Outcomes (Eng)" queryTableFieldId="9" dataDxfId="822"/>
    <tableColumn id="10" xr3:uid="{B016F316-1F70-477E-8DB9-8053D1483C06}" uniqueName="10" name="Description (Eng)" queryTableFieldId="10" dataDxfId="821"/>
    <tableColumn id="55" xr3:uid="{4115C901-3D5F-461F-AA3E-0F16D45D3ED1}" uniqueName="55" name="Include in Online Registration? _x000a_(Y/N)" queryTableFieldId="55" dataDxfId="820"/>
    <tableColumn id="44" xr3:uid="{1D7E4B07-0B0E-4852-BEF1-1312BB870B1D}" uniqueName="44" name="Send Auto-reminder? _x000a_(Y/N)" queryTableFieldId="178" dataDxfId="819"/>
    <tableColumn id="75" xr3:uid="{F44D5228-255F-40C5-9DD7-F75C705A926A}" uniqueName="75" name="Learning Domain" queryTableFieldId="76" dataDxfId="818"/>
    <tableColumn id="11" xr3:uid="{D479147D-6232-48F6-AA7C-6F7D2042B739}" uniqueName="11" name="Learning Domain (Short)" queryTableFieldId="11" dataDxfId="817"/>
    <tableColumn id="12" xr3:uid="{920831A6-413E-4748-B075-984CA9230837}" uniqueName="12" name="Leadership LS" queryTableFieldId="12" dataDxfId="816"/>
    <tableColumn id="13" xr3:uid="{C0040D16-0583-43CB-A4D7-946FA2281331}" uniqueName="13" name="Entrepreneurship ENT" queryTableFieldId="13" dataDxfId="815"/>
    <tableColumn id="14" xr3:uid="{E63AEB25-87BF-4BC7-AA70-DDBBA9FFBC2E}" uniqueName="14" name="Well-being (Physical) WBP" queryTableFieldId="14" dataDxfId="814"/>
    <tableColumn id="15" xr3:uid="{59383E8E-39D9-4489-A9F9-A1823576DB75}" uniqueName="15" name="Well-being (Mental) WBM" queryTableFieldId="15" dataDxfId="813"/>
    <tableColumn id="16" xr3:uid="{0843B30F-EC5F-4CBA-8D82-F43616267151}" uniqueName="16" name="Language Enhancement LE" queryTableFieldId="16" dataDxfId="812"/>
    <tableColumn id="17" xr3:uid="{E6ECFB33-B7B7-43DF-B202-8391DAB2E590}" uniqueName="17" name="Cross-Cultural Appreciation_x000a_&amp; Integration CCAI" queryTableFieldId="17" dataDxfId="811"/>
    <tableColumn id="18" xr3:uid="{FB492F29-5664-4B1B-9BD5-B98FA80E9A9B}" uniqueName="18" name="Sustainability SUS" queryTableFieldId="18" dataDxfId="810"/>
    <tableColumn id="19" xr3:uid="{BD4F4D09-B2B6-4AEE-BCCD-62172E8A622B}" uniqueName="19" name="Digital Literacy DL" queryTableFieldId="19" dataDxfId="809"/>
    <tableColumn id="20" xr3:uid="{3BCEE3EA-9936-44E1-B343-9D9FD1367D32}" uniqueName="20" name="Career Development  CR" queryTableFieldId="20" dataDxfId="808"/>
    <tableColumn id="22" xr3:uid="{80DB7A19-8FCF-44C7-A6DE-536A0FCDAA9B}" uniqueName="22" name="Total" queryTableFieldId="22" dataDxfId="807"/>
    <tableColumn id="106" xr3:uid="{AB910638-C0BB-41C3-AAE8-EF76278C274E}" uniqueName="106" name="Programme Type" queryTableFieldId="110" dataDxfId="806"/>
    <tableColumn id="23" xr3:uid="{00440453-026D-4C80-983A-CD2D82CEED83}" uniqueName="23" name="Delivery Mode" queryTableFieldId="23" dataDxfId="805"/>
    <tableColumn id="24" xr3:uid="{5EB76BDD-C72E-4291-89B5-BC5F5CD71D65}" uniqueName="24" name="Medium_x000a_of Instruction_x000a_(ENG)" queryTableFieldId="24" dataDxfId="804"/>
    <tableColumn id="77" xr3:uid="{BF35625C-AFDC-4DA3-8BB5-F4063B141B02}" uniqueName="77" name="Medium_x000a_of Instruction_x000a_(Cantonese)" queryTableFieldId="78" dataDxfId="803"/>
    <tableColumn id="76" xr3:uid="{DF16FDAE-66D7-4013-A3F3-E4D7FCEF805C}" uniqueName="76" name="Medium_x000a_of Instruction_x000a_(PTH)" queryTableFieldId="77" dataDxfId="802"/>
    <tableColumn id="26" xr3:uid="{925F1863-80FE-4729-9AD4-0023A4EB91F9}" uniqueName="26" name="ILP Units Per Session" queryTableFieldId="26" dataDxfId="801"/>
    <tableColumn id="27" xr3:uid="{B1FD0AE4-D500-49D6-AF8F-7FF00D862EEB}" uniqueName="27" name="Quota" queryTableFieldId="27" dataDxfId="800"/>
    <tableColumn id="28" xr3:uid="{186B01D2-E6DB-4266-9FE0-305E28F22727}" uniqueName="28" name="Total Units to be Offered" queryTableFieldId="28" dataDxfId="799"/>
    <tableColumn id="29" xr3:uid="{8A59B084-DABD-4574-AF61-CC2DC5CA5057}" uniqueName="29" name="Lesson 1 _x000a_Date _x000a_(DD-MMM-YYYY)" queryTableFieldId="29" dataDxfId="798"/>
    <tableColumn id="105" xr3:uid="{D89A28B6-78DC-441D-A0FF-5CB17E7CD248}" uniqueName="105" name="Lesson 1 (DOW)" queryTableFieldId="109" dataDxfId="797">
      <calculatedColumnFormula>WEEKDAY(Sheet_1_Table_1_13[[#This Row],[Lesson 1 
Date 
(DD-MMM-YYYY)]])</calculatedColumnFormula>
    </tableColumn>
    <tableColumn id="103" xr3:uid="{AAFE096E-61E6-4F49-95FA-8776A9AC74C0}" uniqueName="103" name="Lesson 1 _x000a_Start Time_x000a_(HH:MM)" queryTableFieldId="107" dataDxfId="796"/>
    <tableColumn id="56" xr3:uid="{55E58FA8-4A3C-41F2-B5CA-2E57D4B1FFC3}" uniqueName="56" name="Lesson 1_x000a_End Time_x000a_(HH:MM)" queryTableFieldId="163" dataDxfId="795"/>
    <tableColumn id="58" xr3:uid="{291AE247-8199-4281-B26A-5E676182522D}" uniqueName="58" name="Lesson 1 _x000a_Venue" queryTableFieldId="58" dataDxfId="794"/>
    <tableColumn id="113" xr3:uid="{1346E22C-B0E1-47DA-B27D-B19E4244D810}" uniqueName="113" name="Lesson 2_x000a_Date _x000a_(DD-MMM-YYYY)" queryTableFieldId="120" dataDxfId="793"/>
    <tableColumn id="114" xr3:uid="{899BAB39-AF17-4B64-A162-5F1713B05A95}" uniqueName="114" name="Lesson 2 (DOW)" queryTableFieldId="119" dataDxfId="792">
      <calculatedColumnFormula>WEEKDAY(Sheet_1_Table_1_13[[#This Row],[Lesson 1 
Date 
(DD-MMM-YYYY)]])</calculatedColumnFormula>
    </tableColumn>
    <tableColumn id="115" xr3:uid="{39F97876-FAF6-4292-BB85-B4C42E612699}" uniqueName="115" name="Lesson 2_x000a_Start Time_x000a_(HH:MM)" queryTableFieldId="118" dataDxfId="791"/>
    <tableColumn id="60" xr3:uid="{2C142D6D-32C2-4981-8DC5-2BBA7B80428A}" uniqueName="60" name="Lesson 2_x000a_End Time_x000a_(HH:MM)" queryTableFieldId="164" dataDxfId="790"/>
    <tableColumn id="116" xr3:uid="{91B11EF2-0883-4772-B68B-9A7F13739D17}" uniqueName="116" name="Lesson 2_x000a_ Venue" queryTableFieldId="117" dataDxfId="789"/>
    <tableColumn id="104" xr3:uid="{32D3066D-D821-4696-8386-6941335F6B87}" uniqueName="104" name="Lesson 3_x000a_Date _x000a_(DD-MMM-YYYY)" queryTableFieldId="108" dataDxfId="788"/>
    <tableColumn id="112" xr3:uid="{95858715-35D3-4431-A996-DC150A94BD84}" uniqueName="112" name="Lesson 3 (DOW)" queryTableFieldId="116" dataDxfId="787">
      <calculatedColumnFormula>WEEKDAY(Sheet_1_Table_1_13[[#This Row],[Lesson 1 
Date 
(DD-MMM-YYYY)]])</calculatedColumnFormula>
    </tableColumn>
    <tableColumn id="111" xr3:uid="{2F935B6D-C2E7-4276-ADE9-32B038B64F63}" uniqueName="111" name="Lesson 3_x000a_Start Time_x000a_(HH:MM)" queryTableFieldId="115" dataDxfId="786"/>
    <tableColumn id="62" xr3:uid="{68B2377F-BDA5-43FD-8038-1CE332E4C7AB}" uniqueName="62" name="Lesson 3_x000a_End Time_x000a_(HH:MM)" queryTableFieldId="165" dataDxfId="785"/>
    <tableColumn id="110" xr3:uid="{0917AA48-132B-4263-974D-5BBC73996FC7}" uniqueName="110" name="Lesson 3_x000a_ Venue" queryTableFieldId="114" dataDxfId="784"/>
    <tableColumn id="109" xr3:uid="{4D419D2D-D3A0-4D43-B804-5DF44BB62087}" uniqueName="109" name="Lesson 4_x000a_Date _x000a_(DD-MMM-YYYY)" queryTableFieldId="113" dataDxfId="783"/>
    <tableColumn id="108" xr3:uid="{5186282D-5359-4400-B870-BC5691D96E80}" uniqueName="108" name="Lesson 4 (DOW)" queryTableFieldId="112" dataDxfId="782">
      <calculatedColumnFormula>WEEKDAY(Sheet_1_Table_1_13[[#This Row],[Lesson 1 
Date 
(DD-MMM-YYYY)]])</calculatedColumnFormula>
    </tableColumn>
    <tableColumn id="117" xr3:uid="{C2437A30-0FFA-43AB-B4C6-BE75476F1869}" uniqueName="117" name="Lesson 4_x000a_Start Time_x000a_(HH:MM)" queryTableFieldId="121" dataDxfId="781"/>
    <tableColumn id="64" xr3:uid="{CC1CCBFB-0EB5-44D5-9EAF-0126020CC764}" uniqueName="64" name="Lesson 4_x000a_End Time_x000a_(HH:MM)" queryTableFieldId="166" dataDxfId="780"/>
    <tableColumn id="107" xr3:uid="{9030D5BE-214B-498C-A03A-6CBD5AB62116}" uniqueName="107" name="Lesson 4_x000a_ Venue" queryTableFieldId="111" dataDxfId="779"/>
    <tableColumn id="122" xr3:uid="{7AC2DFD7-71C1-4D21-B361-4DCE7C8DC681}" uniqueName="122" name="Lesson 5_x000a_Date _x000a_(DD-MMM-YYYY)" queryTableFieldId="130" dataDxfId="778"/>
    <tableColumn id="123" xr3:uid="{43931FD7-BCBB-431F-8479-DA45D18C3D4A}" uniqueName="123" name="Lesson 5 (DOW)" queryTableFieldId="129" dataDxfId="777">
      <calculatedColumnFormula>WEEKDAY(Sheet_1_Table_1_13[[#This Row],[Lesson 1 
Date 
(DD-MMM-YYYY)]])</calculatedColumnFormula>
    </tableColumn>
    <tableColumn id="124" xr3:uid="{432F0ACC-7F9D-462D-A3D4-7C383878ACDC}" uniqueName="124" name="Lesson 5_x000a_Start Time_x000a_(HH:MM)" queryTableFieldId="128" dataDxfId="776"/>
    <tableColumn id="65" xr3:uid="{94619272-C561-4505-8B10-2582A4A9CAC7}" uniqueName="65" name="Lesson 5_x000a_End Time_x000a_(HH:MM)" queryTableFieldId="167" dataDxfId="775"/>
    <tableColumn id="125" xr3:uid="{65D8D4F1-19D6-4565-9AD4-4E599526EC56}" uniqueName="125" name="Lesson 5_x000a_ Venue" queryTableFieldId="127" dataDxfId="774"/>
    <tableColumn id="118" xr3:uid="{9AEDAFF9-976D-489A-BD7B-C39E22EC915C}" uniqueName="118" name="Lesson 6_x000a_Date _x000a_(DD-MMM-YYYY)" queryTableFieldId="126" dataDxfId="773"/>
    <tableColumn id="119" xr3:uid="{A37B2C2E-2511-42E7-85E9-00D11E8F3744}" uniqueName="119" name="Lesson 6 (DOW)" queryTableFieldId="125" dataDxfId="772">
      <calculatedColumnFormula>WEEKDAY(Sheet_1_Table_1_13[[#This Row],[Lesson 1 
Date 
(DD-MMM-YYYY)]])</calculatedColumnFormula>
    </tableColumn>
    <tableColumn id="120" xr3:uid="{317575F8-2C79-4AE0-A42B-AAD42FB03DCE}" uniqueName="120" name="Lesson 6_x000a_Start Time_x000a_(HH:MM)" queryTableFieldId="124" dataDxfId="771"/>
    <tableColumn id="43" xr3:uid="{A0C7268F-B831-4BD1-AD22-EB42AAA25835}" uniqueName="43" name="Lesson 6_x000a_End Time_x000a_(HH:MM)" queryTableFieldId="162" dataDxfId="770"/>
    <tableColumn id="121" xr3:uid="{7DD9E67A-7E49-4A9C-83E2-91FB2A016699}" uniqueName="121" name="Lesson 6_x000a_ Venue" queryTableFieldId="123" dataDxfId="769"/>
    <tableColumn id="21" xr3:uid="{E6EED05C-4B40-4EB5-9EB3-618983BD6AFA}" uniqueName="21" name="Instructor / Speaker (1)_x000a_Title" queryTableFieldId="132" dataDxfId="768"/>
    <tableColumn id="34" xr3:uid="{D7A4E2D5-58EB-4CE3-8B40-FC146CF04E8D}" uniqueName="34" name="Instructor / Speaker (1)_x000a_First Name" queryTableFieldId="34" dataDxfId="767"/>
    <tableColumn id="30" xr3:uid="{39055718-94D2-4FE2-A219-B124733E9A4C}" uniqueName="30" name="Instructor / Speaker (1)_x000a_Last Name _x000a_(in CAPITAL letter)" queryTableFieldId="133" dataDxfId="766"/>
    <tableColumn id="35" xr3:uid="{F89D4F71-029B-4BEB-938F-2DFA9C4DDA76}" uniqueName="35" name="Instructor / Speaker (1)_x000a_Job Title" queryTableFieldId="35" dataDxfId="765"/>
    <tableColumn id="37" xr3:uid="{9CF2269B-8C4B-42AD-B204-E305BB38C8E3}" uniqueName="37" name="Instructor / Speaker (2)_x000a_Title" queryTableFieldId="137" dataDxfId="764"/>
    <tableColumn id="36" xr3:uid="{727C31DB-7FBB-4C76-A648-F864CF363176}" uniqueName="36" name="Instructor / Speaker (2)_x000a_First Name" queryTableFieldId="136" dataDxfId="763"/>
    <tableColumn id="32" xr3:uid="{AC4E7676-4E11-4ACA-AFDC-3D3C3E6EEB99}" uniqueName="32" name="Instructor / Speaker (2)_x000a_Last Name _x000a_(in CAPITAL letter)" queryTableFieldId="135" dataDxfId="762"/>
    <tableColumn id="31" xr3:uid="{7EFE6FF1-FE24-48D6-BF26-4F55F886DE6D}" uniqueName="31" name="Instructor / Speaker (2)_x000a_Job Title" queryTableFieldId="134" dataDxfId="761"/>
    <tableColumn id="40" xr3:uid="{1762D3FF-9306-4FBF-9319-529D195A48B1}" uniqueName="40" name="Fees" queryTableFieldId="179" dataDxfId="760"/>
    <tableColumn id="78" xr3:uid="{5A2FBEB1-478D-45A4-92B6-870F86C095CB}" uniqueName="78" name="Deposits" queryTableFieldId="79" dataDxfId="759"/>
    <tableColumn id="38" xr3:uid="{62FB027B-6541-4678-A93A-336D261863DB}" uniqueName="38" name="Assembly Time _x000a_(for Off-campus Visit)" queryTableFieldId="38" dataDxfId="758"/>
    <tableColumn id="69" xr3:uid="{516FBBAF-4B8B-41FB-9E4F-E03A33609B30}" uniqueName="69" name="Assembly Location_x000a_(for Off-campus Visit)" queryTableFieldId="172" dataDxfId="757"/>
    <tableColumn id="39" xr3:uid="{84F145DF-982F-4093-9F01-BFBA99D7FEE0}" uniqueName="39" name="Remarks to Students (if applicable)" queryTableFieldId="39" dataDxfId="756"/>
    <tableColumn id="70" xr3:uid="{4826741F-BBAC-4D5C-A3DE-559C931D1C9A}" uniqueName="70" name="Zoom URL_x000a_(if any)" queryTableFieldId="183" dataDxfId="755"/>
    <tableColumn id="42" xr3:uid="{4FBD64E1-C86D-45C4-B8DB-1B2DB9316981}" uniqueName="42" name="Meeting ID_x000a_(if any)" queryTableFieldId="181" dataDxfId="754"/>
    <tableColumn id="41" xr3:uid="{CF17600B-00AC-4F59-98D4-3EDFFA946F59}" uniqueName="41" name="Meeting Passcode_x000a_(if any)" queryTableFieldId="180" dataDxfId="753"/>
    <tableColumn id="72" xr3:uid="{14A7A57B-6551-40C7-B668-26696C74D944}" uniqueName="72" name="Programme In-charge 1_x000a_Name" queryTableFieldId="184" dataDxfId="752"/>
    <tableColumn id="73" xr3:uid="{BBFCC90E-BEC6-452B-8670-1034D99FD9FF}" uniqueName="73" name="Programme In-charge 1_x000a_Email" queryTableFieldId="185" dataDxfId="751"/>
    <tableColumn id="45" xr3:uid="{6839E66F-0D79-4C3B-AD29-ADF4D3A9C8C2}" uniqueName="45" name="Programme In-charge 2_x000a_Name" queryTableFieldId="45" dataDxfId="750"/>
    <tableColumn id="46" xr3:uid="{ACD59820-2055-4C41-8AEE-A4F8F1C47126}" uniqueName="46" name="Programme In-charge 2_x000a_Email" queryTableFieldId="46" dataDxfId="749"/>
    <tableColumn id="49" xr3:uid="{DD6AE7E5-4509-4959-95DC-204C004E0ADA}" uniqueName="49" name="Sustainable Development Goals (Y/N)" queryTableFieldId="49" dataDxfId="748"/>
    <tableColumn id="50" xr3:uid="{A034C127-71B6-4A36-984C-38BD761D9A9D}" uniqueName="50" name="SDG1 _x000a_No Poverty" queryTableFieldId="50" dataDxfId="747"/>
    <tableColumn id="51" xr3:uid="{CF0AB0D3-B906-4AEB-9D84-FABE961F61A0}" uniqueName="51" name="SDG2_x000a_Zero Hunger" queryTableFieldId="51" dataDxfId="746"/>
    <tableColumn id="52" xr3:uid="{40965D9D-F402-43DA-9B35-A34513D10735}" uniqueName="52" name="SDG3_x000a_Good Health and well-being" queryTableFieldId="52" dataDxfId="745"/>
    <tableColumn id="53" xr3:uid="{6FE27703-0CFA-4879-965A-4D42A02D8AAB}" uniqueName="53" name="SDG4_x000a_Quality Education" queryTableFieldId="53" dataDxfId="744"/>
    <tableColumn id="54" xr3:uid="{2625543E-E063-4243-A08E-7231C9B210B3}" uniqueName="54" name="SDG5_x000a_ Gender Equality" queryTableFieldId="54" dataDxfId="743"/>
    <tableColumn id="101" xr3:uid="{1562B71B-CBBE-4F0B-94A8-C31BAA659F43}" uniqueName="101" name="SDG6_x000a_ Clean Water &amp; Sanitation" queryTableFieldId="102" dataDxfId="742"/>
    <tableColumn id="100" xr3:uid="{39909ABD-6500-45F0-A86D-B443343F1777}" uniqueName="100" name="SDG7 Affordable &amp; Clean Energy" queryTableFieldId="101" dataDxfId="741"/>
    <tableColumn id="99" xr3:uid="{C275A61C-5CCB-41F1-B5E5-2F103132BDBA}" uniqueName="99" name="SDG8 _x000a_Decent Work &amp; Economic Growth" queryTableFieldId="100" dataDxfId="740"/>
    <tableColumn id="98" xr3:uid="{D72F3732-7D82-4F7C-AD2E-F190804BCD99}" uniqueName="98" name="SDG9_x000a_Industry, Innovation &amp; Infrastructure" queryTableFieldId="99" dataDxfId="739"/>
    <tableColumn id="97" xr3:uid="{7715FA03-2B66-407C-93A8-6EBB9C3D6EFF}" uniqueName="97" name="SDG10_x000a_ Reduced inequalities" queryTableFieldId="98" dataDxfId="738"/>
    <tableColumn id="96" xr3:uid="{F9E0F0CD-73D9-45A2-BB93-2529F90BA9D7}" uniqueName="96" name="SDG11 Sustainable Cities &amp; Communities" queryTableFieldId="97" dataDxfId="737"/>
    <tableColumn id="95" xr3:uid="{D201D527-4BEE-4DA9-9D24-732CD0304B52}" uniqueName="95" name="SDG12 Responsible Consumption &amp; Production" queryTableFieldId="96" dataDxfId="736"/>
    <tableColumn id="94" xr3:uid="{7E8C6EF4-4194-4058-801D-5E0494F6A85F}" uniqueName="94" name="SDG13_x000a_ Climate Action" queryTableFieldId="95" dataDxfId="735"/>
    <tableColumn id="93" xr3:uid="{EBBD1363-F683-4B5E-98F8-C08E9C8D3230}" uniqueName="93" name="SDG14_x000a_Life Below Water" queryTableFieldId="94" dataDxfId="734"/>
    <tableColumn id="92" xr3:uid="{E7ED3000-6B03-443F-8644-CB923FC76BCC}" uniqueName="92" name="SDG15 _x000a_Life on Land" queryTableFieldId="93" dataDxfId="733"/>
    <tableColumn id="91" xr3:uid="{7C3C6599-A2C5-4003-8CDA-4A5CE110BD28}" uniqueName="91" name="SDG16 Peace, Justice &amp; Strong Institutions" queryTableFieldId="92" dataDxfId="732"/>
    <tableColumn id="90" xr3:uid="{10DE72AF-4F73-4501-B9DE-BBED11C774CA}" uniqueName="90" name="SDG17 Partnerships for the Goals" queryTableFieldId="91" dataDxfId="731"/>
    <tableColumn id="63" xr3:uid="{5B635CB7-BE15-476A-BC29-90F0B86B5563}" uniqueName="63" name="Country/Place" queryTableFieldId="64" dataDxfId="730"/>
    <tableColumn id="83" xr3:uid="{779C3757-3084-4A29-9721-22AA1CDDE4B6}" uniqueName="83" name="Credit Type" queryTableFieldId="84" dataDxfId="729"/>
    <tableColumn id="84" xr3:uid="{F20C6442-C9A0-47E8-BA0E-5B229F95000D}" uniqueName="84" name="Data Type" queryTableFieldId="85" dataDxfId="728"/>
    <tableColumn id="61" xr3:uid="{320B68B9-CA71-434C-A71C-CF6D282C4968}" uniqueName="61" name="UAA" queryTableFieldId="62" dataDxfId="727"/>
    <tableColumn id="86" xr3:uid="{2B386FD3-2617-4CCE-9254-70D253AE9C06}" uniqueName="86" name="Programme Category" queryTableFieldId="87" dataDxfId="726"/>
    <tableColumn id="87" xr3:uid="{30FF24C8-727F-431F-8BFF-EC78C1696D68}" uniqueName="87" name="Whole Person Development Cocurriculum" queryTableFieldId="88" dataDxfId="725"/>
    <tableColumn id="88" xr3:uid="{89089AFE-3051-48FD-A9A3-F0DEB5DA0F65}" uniqueName="88" name="Moral Education" queryTableFieldId="89" dataDxfId="724"/>
    <tableColumn id="89" xr3:uid="{B44B2C51-AD7C-42E9-B9C7-C3BC355A54BF}" uniqueName="89" name="Social Responsible Citizenship" queryTableFieldId="90" dataDxfId="723"/>
    <tableColumn id="47" xr3:uid="{4F54B141-5FD6-4BFA-8A09-BB7B5026E7AA}" uniqueName="47" name="Lingnan Language Enhancement Initiative (L2EI)_x000a_(Y/N)" queryTableFieldId="186" dataDxfId="722"/>
    <tableColumn id="25" xr3:uid="{AB6D3982-A29F-41C9-8CF8-35E3CA491915}" uniqueName="25" name="Leadership Enhancement Programme (LEP)_x000a_(Y/N)" queryTableFieldId="25" dataDxfId="721"/>
    <tableColumn id="66" xr3:uid="{28E2877D-7F0A-488D-9A88-E69D8B577722}" uniqueName="66" name="TALENT - The Lingnan iPortfolio" queryTableFieldId="169" dataDxfId="720"/>
    <tableColumn id="67" xr3:uid="{EC8347D6-8902-4E80-B20B-7072301847BD}" uniqueName="67" name="Has Registration" queryTableFieldId="170" dataDxfId="719"/>
    <tableColumn id="68" xr3:uid="{AD1C47B1-76FE-4999-8873-194688E5B350}" uniqueName="68" name="OSA Portal Registration" queryTableFieldId="171" dataDxfId="7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475" dataDxfId="473" headerRowBorderDxfId="474" tableBorderDxfId="472" totalsRowBorderDxfId="471">
  <autoFilter ref="B2:DM52" xr:uid="{A40E3A6D-1066-4C6D-8DC4-5DAEE3358E36}"/>
  <tableColumns count="116">
    <tableColumn id="1" xr3:uid="{F392DCA2-D346-49D7-BCE6-54B66FE35476}" uniqueName="1" name="Term" queryTableFieldId="1" dataDxfId="470"/>
    <tableColumn id="2" xr3:uid="{21738D0A-99BD-4FC1-9E92-0017EE987CA2}" uniqueName="2" name="Course Code" queryTableFieldId="2" dataDxfId="469"/>
    <tableColumn id="3" xr3:uid="{05AA5D6D-B097-4A78-9C88-594CA797BA31}" uniqueName="3" name="Part of Terms" queryTableFieldId="3" dataDxfId="468"/>
    <tableColumn id="4" xr3:uid="{CEFFBC22-F0DF-4D06-877C-7443D64DD601}" uniqueName="4" name="CRN" queryTableFieldId="4" dataDxfId="467"/>
    <tableColumn id="59" xr3:uid="{FA4213A4-2B77-4C0B-BA35-CDDCF3FD9CEA}" uniqueName="59" name="Department / Unit" queryTableFieldId="59" dataDxfId="466"/>
    <tableColumn id="33" xr3:uid="{5C109425-C2E8-4257-A5AF-3FB23141E1F6}" uniqueName="33" name="Team" queryTableFieldId="176" dataDxfId="465"/>
    <tableColumn id="5" xr3:uid="{F2119157-E77F-4CE1-88B1-BA357F379B0F}" uniqueName="5" name="Series Name (Chi)" queryTableFieldId="5" dataDxfId="464"/>
    <tableColumn id="6" xr3:uid="{2B2276A8-64A9-41E9-864A-A3379476D7B4}" uniqueName="6" name="Series Name (Eng)" queryTableFieldId="6" dataDxfId="463"/>
    <tableColumn id="7" xr3:uid="{D8A83F19-1682-498F-B599-53DEE16850F9}" uniqueName="7" name="Activity Title (Chi)" queryTableFieldId="7" dataDxfId="462"/>
    <tableColumn id="8" xr3:uid="{5684CE8F-0AB1-45A7-AC0C-020DE3FFDBA0}" uniqueName="8" name="Activity Title (Eng)" queryTableFieldId="8" dataDxfId="461"/>
    <tableColumn id="57" xr3:uid="{D8217239-2A77-47DB-BDE2-72EA5D66F2B4}" uniqueName="57" name="Session Title" queryTableFieldId="57" dataDxfId="460"/>
    <tableColumn id="9" xr3:uid="{893A2D7F-32A7-47E0-BA15-152388B953EA}" uniqueName="9" name="Objectives / Expected Learning Outcomes (Eng)" queryTableFieldId="9" dataDxfId="459"/>
    <tableColumn id="10" xr3:uid="{4B06C9F2-EF32-4150-A1E8-9F39D4CA2CD8}" uniqueName="10" name="Description (Eng)" queryTableFieldId="10" dataDxfId="458"/>
    <tableColumn id="55" xr3:uid="{92325338-C9AA-4A32-8A2E-12D5C195FED2}" uniqueName="55" name="Include in Online Registration? _x000a_(Y/N)" queryTableFieldId="55" dataDxfId="457"/>
    <tableColumn id="44" xr3:uid="{2537BABB-1A7A-4EBA-A629-9D5AEC994A62}" uniqueName="44" name="Send Auto-reminder? _x000a_(Y/N)" queryTableFieldId="178" dataDxfId="456"/>
    <tableColumn id="75" xr3:uid="{16051A6C-710C-4213-8C73-FC73A8948879}" uniqueName="75" name="Learning Domain" queryTableFieldId="76" dataDxfId="455"/>
    <tableColumn id="11" xr3:uid="{2E75F671-86CB-41B3-B213-9A38CD76D66A}" uniqueName="11" name="Learning Domain (Short)" queryTableFieldId="11" dataDxfId="454"/>
    <tableColumn id="12" xr3:uid="{7A728F21-CDC0-4EE1-A6D4-4935412267C5}" uniqueName="12" name="Leadership LS" queryTableFieldId="12" dataDxfId="453"/>
    <tableColumn id="13" xr3:uid="{718B90D0-74AD-4033-A05F-97DF3C1CD2B5}" uniqueName="13" name="Entrepreneurship ENT" queryTableFieldId="13" dataDxfId="452"/>
    <tableColumn id="14" xr3:uid="{4D0BC0DE-5C80-47DD-9AED-FEFE5E6946FC}" uniqueName="14" name="Well-being (Physical) WBP" queryTableFieldId="14" dataDxfId="451"/>
    <tableColumn id="15" xr3:uid="{631C56C3-9EEF-4F19-A68C-34280609A0A2}" uniqueName="15" name="Well-being (Mental) WBM" queryTableFieldId="15" dataDxfId="450"/>
    <tableColumn id="16" xr3:uid="{EA834FA6-2356-4F48-BB8A-AEA97CD3151C}" uniqueName="16" name="Language Enhancement LE" queryTableFieldId="16" dataDxfId="449"/>
    <tableColumn id="17" xr3:uid="{FC3FD7DD-7C52-4F82-82D4-0A96D1C814DD}" uniqueName="17" name="Cross-Cultural Appreciation_x000a_&amp; Integration CCAI" queryTableFieldId="17" dataDxfId="448"/>
    <tableColumn id="18" xr3:uid="{683F25D8-C11C-43DD-A924-C3D713DBB7A7}" uniqueName="18" name="Sustainability SUS" queryTableFieldId="18" dataDxfId="447"/>
    <tableColumn id="19" xr3:uid="{BDBB6666-0E9C-42F7-9FD4-7EE87C3FBB6D}" uniqueName="19" name="Digital Literacy DL" queryTableFieldId="19" dataDxfId="446"/>
    <tableColumn id="20" xr3:uid="{740F99FC-7ADA-4F1D-8175-1A6660A1FACB}" uniqueName="20" name="Career Development  CR" queryTableFieldId="20" dataDxfId="445"/>
    <tableColumn id="22" xr3:uid="{F2E5972C-B97B-4F14-AC81-AAA62AF6EB75}" uniqueName="22" name="Total" queryTableFieldId="22" dataDxfId="444"/>
    <tableColumn id="106" xr3:uid="{D31B4FC6-339D-4E07-A7B1-6673B497F212}" uniqueName="106" name="Programme Type" queryTableFieldId="110" dataDxfId="443"/>
    <tableColumn id="23" xr3:uid="{5FDEBAEB-3803-47DD-BF15-DD4BC1798C7F}" uniqueName="23" name="Delivery Mode" queryTableFieldId="23" dataDxfId="442"/>
    <tableColumn id="24" xr3:uid="{85175855-D178-4DD1-A88A-4DC52E08531A}" uniqueName="24" name="Medium_x000a_of Instruction_x000a_(ENG)" queryTableFieldId="24" dataDxfId="441"/>
    <tableColumn id="77" xr3:uid="{D716A773-10DE-475F-8051-2C77EE96BDF4}" uniqueName="77" name="Medium_x000a_of Instruction_x000a_(Cantonese)" queryTableFieldId="78" dataDxfId="440"/>
    <tableColumn id="76" xr3:uid="{06F33392-FF1B-45AF-A795-D278D7EA67C9}" uniqueName="76" name="Medium_x000a_of Instruction_x000a_(PTH)" queryTableFieldId="77" dataDxfId="439"/>
    <tableColumn id="26" xr3:uid="{5639125F-E94C-4C47-898C-EFD1804D877D}" uniqueName="26" name="ILP Units Per Session" queryTableFieldId="26" dataDxfId="438"/>
    <tableColumn id="27" xr3:uid="{200A829B-6B04-4351-89B0-2AFB176CAFF4}" uniqueName="27" name="Quota" queryTableFieldId="27" dataDxfId="437"/>
    <tableColumn id="28" xr3:uid="{5585D621-4019-45AB-89D4-D6EE8318C94D}" uniqueName="28" name="Total Units to be Offered" queryTableFieldId="28" dataDxfId="436"/>
    <tableColumn id="29" xr3:uid="{C127F129-0FF7-44BB-A0B4-7A3E84844D50}" uniqueName="29" name="Lesson 1 _x000a_Date _x000a_(DD-MMM-YYYY)" queryTableFieldId="29" dataDxfId="435"/>
    <tableColumn id="105" xr3:uid="{FE523A9B-9B1D-4DC8-818A-293E22379556}" uniqueName="105" name="Lesson 1 (DOW)" queryTableFieldId="109" dataDxfId="434">
      <calculatedColumnFormula>WEEKDAY(Sheet_1_Table_1_138[[#This Row],[Lesson 1 
Date 
(DD-MMM-YYYY)]])</calculatedColumnFormula>
    </tableColumn>
    <tableColumn id="103" xr3:uid="{616E98B4-6743-479F-AA88-E49DF8D91211}" uniqueName="103" name="Lesson 1 _x000a_Start Time_x000a_(HH:MM)" queryTableFieldId="107" dataDxfId="433"/>
    <tableColumn id="56" xr3:uid="{5E4C9C9A-60AD-4629-84C9-0814D5D5D910}" uniqueName="56" name="Lesson 1_x000a_End Time_x000a_(HH:MM)" queryTableFieldId="163" dataDxfId="432"/>
    <tableColumn id="58" xr3:uid="{A7DB7493-3661-4D9A-99C8-53873DB41037}" uniqueName="58" name="Lesson 1 _x000a_Venue" queryTableFieldId="58" dataDxfId="431"/>
    <tableColumn id="113" xr3:uid="{742C4576-D1D9-4EF0-AFA4-DB683A2F66B8}" uniqueName="113" name="Lesson 2_x000a_Date _x000a_(DD-MMM-YYYY)" queryTableFieldId="120" dataDxfId="430"/>
    <tableColumn id="114" xr3:uid="{282EAA75-51C1-4895-BAE9-4D2F849DCD95}" uniqueName="114" name="Lesson 2 (DOW)" queryTableFieldId="119" dataDxfId="429">
      <calculatedColumnFormula>WEEKDAY(Sheet_1_Table_1_138[[#This Row],[Lesson 2
Date 
(DD-MMM-YYYY)]])</calculatedColumnFormula>
    </tableColumn>
    <tableColumn id="115" xr3:uid="{74D4730C-0A44-4C4A-956E-F2330C12D080}" uniqueName="115" name="Lesson 2_x000a_Start Time_x000a_(HH:MM)" queryTableFieldId="118" dataDxfId="428"/>
    <tableColumn id="60" xr3:uid="{4FA6B72E-B30E-45E7-B4A3-C2C1C7DAF723}" uniqueName="60" name="Lesson 2_x000a_End Time_x000a_(HH:MM)" queryTableFieldId="164" dataDxfId="427"/>
    <tableColumn id="116" xr3:uid="{D6A6D5BA-1297-4AEB-AA66-EB37353E83CA}" uniqueName="116" name="Lesson 2_x000a_ Venue" queryTableFieldId="117" dataDxfId="426"/>
    <tableColumn id="104" xr3:uid="{8CB71F16-0F05-4046-B70D-B2ECA16FB7F7}" uniqueName="104" name="Lesson 3_x000a_Date _x000a_(DD-MMM-YYYY)" queryTableFieldId="108" dataDxfId="425"/>
    <tableColumn id="112" xr3:uid="{58EB4869-A8AE-4A6A-93A8-7F7E4B6542DF}" uniqueName="112" name="Lesson 3 (DOW)" queryTableFieldId="116" dataDxfId="424">
      <calculatedColumnFormula>WEEKDAY(Sheet_1_Table_1_138[[#This Row],[Lesson 3
Date 
(DD-MMM-YYYY)]])</calculatedColumnFormula>
    </tableColumn>
    <tableColumn id="111" xr3:uid="{B95320D2-8AD6-491A-9A12-A56023D9D63F}" uniqueName="111" name="Lesson 3_x000a_Start Time_x000a_(HH:MM)" queryTableFieldId="115" dataDxfId="423"/>
    <tableColumn id="62" xr3:uid="{7C67EB64-7846-49E4-888B-1687C1C2770C}" uniqueName="62" name="Lesson 3_x000a_End Time_x000a_(HH:MM)" queryTableFieldId="165" dataDxfId="422"/>
    <tableColumn id="110" xr3:uid="{91ABE4C5-861D-476E-BE50-FD620D0ECDE9}" uniqueName="110" name="Lesson 3_x000a_ Venue" queryTableFieldId="114" dataDxfId="421"/>
    <tableColumn id="109" xr3:uid="{7A453948-92A5-4D3E-B153-98B5C4E762DB}" uniqueName="109" name="Lesson 4_x000a_Date _x000a_(DD-MMM-YYYY)" queryTableFieldId="113" dataDxfId="420"/>
    <tableColumn id="108" xr3:uid="{A7B0045E-9094-4077-B229-84E341E0FD5F}" uniqueName="108" name="Lesson 4 (DOW)" queryTableFieldId="112" dataDxfId="419">
      <calculatedColumnFormula>WEEKDAY(Sheet_1_Table_1_138[[#This Row],[Lesson 4
Date 
(DD-MMM-YYYY)]])</calculatedColumnFormula>
    </tableColumn>
    <tableColumn id="117" xr3:uid="{0511D2FB-DAC0-4B8D-B4CF-271F5626B47C}" uniqueName="117" name="Lesson 4_x000a_Start Time_x000a_(HH:MM)" queryTableFieldId="121" dataDxfId="418"/>
    <tableColumn id="64" xr3:uid="{033C6091-17FA-4AAE-8117-A7626F9426B7}" uniqueName="64" name="Lesson 4_x000a_End Time_x000a_(HH:MM)" queryTableFieldId="166" dataDxfId="417"/>
    <tableColumn id="107" xr3:uid="{F2B5FFD5-D707-4A00-A6C4-4FAAF9B13678}" uniqueName="107" name="Lesson 4_x000a_ Venue" queryTableFieldId="111" dataDxfId="416"/>
    <tableColumn id="122" xr3:uid="{77237107-503E-4830-BFAD-8D67B732B468}" uniqueName="122" name="Lesson 5_x000a_Date _x000a_(DD-MMM-YYYY)" queryTableFieldId="130" dataDxfId="415"/>
    <tableColumn id="123" xr3:uid="{C9ACD738-4BD1-45FC-A876-C36263586EBE}" uniqueName="123" name="Lesson 5 (DOW)" queryTableFieldId="129" dataDxfId="414">
      <calculatedColumnFormula>WEEKDAY(Sheet_1_Table_1_138[[#This Row],[Lesson 5
Date 
(DD-MMM-YYYY)]])</calculatedColumnFormula>
    </tableColumn>
    <tableColumn id="124" xr3:uid="{15AF4AA2-EF88-4D3C-9AA7-1DB87E5D679A}" uniqueName="124" name="Lesson 5_x000a_Start Time_x000a_(HH:MM)" queryTableFieldId="128" dataDxfId="413"/>
    <tableColumn id="65" xr3:uid="{452C60AA-EE3B-4B55-B7B0-132FE547F22C}" uniqueName="65" name="Lesson 5_x000a_End Time_x000a_(HH:MM)" queryTableFieldId="167" dataDxfId="412"/>
    <tableColumn id="125" xr3:uid="{7753C9B3-C575-4B64-9AED-C6B5BBD5CC28}" uniqueName="125" name="Lesson 5_x000a_ Venue" queryTableFieldId="127" dataDxfId="411"/>
    <tableColumn id="118" xr3:uid="{E0EB0834-E203-4C6C-8455-78FC09888593}" uniqueName="118" name="Lesson 6_x000a_Date _x000a_(DD-MMM-YYYY)" queryTableFieldId="126" dataDxfId="410"/>
    <tableColumn id="119" xr3:uid="{4B8C0122-59FD-4B4E-99F2-063D626251B0}" uniqueName="119" name="Lesson 6 (DOW)" queryTableFieldId="125" dataDxfId="409">
      <calculatedColumnFormula>WEEKDAY(Sheet_1_Table_1_138[[#This Row],[Lesson 6
Date 
(DD-MMM-YYYY)]])</calculatedColumnFormula>
    </tableColumn>
    <tableColumn id="120" xr3:uid="{D86E1515-5041-4355-845C-226BEDA56765}" uniqueName="120" name="Lesson 6_x000a_Start Time_x000a_(HH:MM)" queryTableFieldId="124" dataDxfId="408"/>
    <tableColumn id="43" xr3:uid="{98A6184C-0FD6-4B2E-A293-64422DCE199C}" uniqueName="43" name="Lesson 6_x000a_End Time_x000a_(HH:MM)" queryTableFieldId="162" dataDxfId="407"/>
    <tableColumn id="121" xr3:uid="{57319096-CB0A-4BF3-9FC0-61EA825326A0}" uniqueName="121" name="Lesson 6_x000a_ Venue" queryTableFieldId="123" dataDxfId="406"/>
    <tableColumn id="21" xr3:uid="{6980C884-BD4E-4538-A2EE-335DA6505108}" uniqueName="21" name="Instructor / Speaker (1)_x000a_Title" queryTableFieldId="132" dataDxfId="405"/>
    <tableColumn id="34" xr3:uid="{9A02D438-9C25-4F88-B094-989E88E6614D}" uniqueName="34" name="Instructor / Speaker (1)_x000a_First Name" queryTableFieldId="34" dataDxfId="404"/>
    <tableColumn id="30" xr3:uid="{04EDD0A6-0D53-4470-9171-540B8D6D3DB0}" uniqueName="30" name="Instructor / Speaker (1)_x000a_Last Name _x000a_(in CAPITAL letter)" queryTableFieldId="133" dataDxfId="403"/>
    <tableColumn id="35" xr3:uid="{E54EB20D-D26E-4501-BE6E-66A2D6C9369A}" uniqueName="35" name="Instructor / Speaker (1)_x000a_Job Title" queryTableFieldId="35" dataDxfId="402"/>
    <tableColumn id="37" xr3:uid="{170B8DE6-0834-49FB-ADE2-AF03A22269F2}" uniqueName="37" name="Instructor / Speaker (2)_x000a_Title" queryTableFieldId="137" dataDxfId="401"/>
    <tableColumn id="36" xr3:uid="{78FF06B3-6DED-465C-A205-0521BD6C1AB2}" uniqueName="36" name="Instructor / Speaker (2)_x000a_First Name" queryTableFieldId="136" dataDxfId="400"/>
    <tableColumn id="32" xr3:uid="{19020634-A563-4EEC-AC59-BE278644E805}" uniqueName="32" name="Instructor / Speaker (2)_x000a_Last Name _x000a_(in CAPITAL letter)" queryTableFieldId="135" dataDxfId="399"/>
    <tableColumn id="31" xr3:uid="{903ACA39-CB75-44AA-BB4A-1E409D59096F}" uniqueName="31" name="Instructor / Speaker (2)_x000a_Job Title" queryTableFieldId="134" dataDxfId="398"/>
    <tableColumn id="40" xr3:uid="{9E7A6FBD-D122-437B-AADD-DA16C467945F}" uniqueName="40" name="Fees" queryTableFieldId="179" dataDxfId="397"/>
    <tableColumn id="78" xr3:uid="{CA204C9F-7B5E-41E4-8665-F7C1C3E3A334}" uniqueName="78" name="Deposits" queryTableFieldId="79" dataDxfId="396"/>
    <tableColumn id="38" xr3:uid="{130E1C20-C55B-4134-8BAB-5CDF4AFEDC1C}" uniqueName="38" name="Assembly Time _x000a_(for Off-campus Visit)" queryTableFieldId="38" dataDxfId="395"/>
    <tableColumn id="69" xr3:uid="{9B3EED42-4A7F-408D-989B-C926C04C459E}" uniqueName="69" name="Assembly Location_x000a_(for Off-campus Visit)" queryTableFieldId="172" dataDxfId="394"/>
    <tableColumn id="39" xr3:uid="{5DEDACB9-B93C-4978-8317-0F0B02F1C56E}" uniqueName="39" name="Remarks to Students (if applicable)" queryTableFieldId="39" dataDxfId="393"/>
    <tableColumn id="70" xr3:uid="{77D2A096-E478-4934-B90A-78DC1AD12518}" uniqueName="70" name="Zoom URL_x000a_(if any)" queryTableFieldId="183" dataDxfId="392"/>
    <tableColumn id="42" xr3:uid="{1AE0DC7D-8AD9-49CA-992B-7182732EB8DC}" uniqueName="42" name="Meeting ID_x000a_(if any)" queryTableFieldId="181" dataDxfId="391"/>
    <tableColumn id="41" xr3:uid="{C378E3B2-E7F7-4284-8D71-700C14BE4024}" uniqueName="41" name="Meeting Passcode_x000a_(if any)" queryTableFieldId="180" dataDxfId="390"/>
    <tableColumn id="72" xr3:uid="{47FF6F31-CD05-43AC-AD94-CFA22678AC96}" uniqueName="72" name="Programme In-charge 1_x000a_Name" queryTableFieldId="184" dataDxfId="389"/>
    <tableColumn id="73" xr3:uid="{FE2A8C26-289D-4920-AB22-000F1B21A0B9}" uniqueName="73" name="Programme In-charge 1_x000a_Email" queryTableFieldId="185" dataDxfId="388"/>
    <tableColumn id="45" xr3:uid="{391C7BC8-AFEB-400A-B910-ED6BC8E0F358}" uniqueName="45" name="Programme In-charge 2_x000a_Name" queryTableFieldId="45" dataDxfId="387"/>
    <tableColumn id="46" xr3:uid="{D770EA04-243D-478D-A3C6-43C8CB69B728}" uniqueName="46" name="Programme In-charge 2_x000a_Email" queryTableFieldId="46" dataDxfId="386"/>
    <tableColumn id="49" xr3:uid="{C02ADF66-0E02-4DCF-93C5-8114D0BA0C38}" uniqueName="49" name="Sustainable Development Goals (Y/N)" queryTableFieldId="49" dataDxfId="385"/>
    <tableColumn id="50" xr3:uid="{A7320208-361D-4F9E-96D8-9D605062DF4D}" uniqueName="50" name="SDG1 _x000a_No Poverty" queryTableFieldId="50" dataDxfId="384"/>
    <tableColumn id="51" xr3:uid="{0DDA53F7-F36E-424F-9D54-6D0C27F0078E}" uniqueName="51" name="SDG2_x000a_Zero Hunger" queryTableFieldId="51" dataDxfId="383"/>
    <tableColumn id="52" xr3:uid="{82334B8A-CBE2-4707-A913-6165749E6252}" uniqueName="52" name="SDG3_x000a_Good Health and well-being" queryTableFieldId="52" dataDxfId="382"/>
    <tableColumn id="53" xr3:uid="{FD11335F-42B8-49EF-8BE2-F9A2733EE180}" uniqueName="53" name="SDG4_x000a_Quality Education" queryTableFieldId="53" dataDxfId="381"/>
    <tableColumn id="54" xr3:uid="{89A48372-8F0D-4B8E-AB15-9A15CC557F90}" uniqueName="54" name="SDG5_x000a_ Gender Equality" queryTableFieldId="54" dataDxfId="380"/>
    <tableColumn id="101" xr3:uid="{8D25CF5D-BE54-43CA-9AA7-5CAEAB582625}" uniqueName="101" name="SDG6_x000a_ Clean Water &amp; Sanitation" queryTableFieldId="102" dataDxfId="379"/>
    <tableColumn id="100" xr3:uid="{BB3D6999-0A30-497A-90DC-9483AE6B5044}" uniqueName="100" name="SDG7 Affordable &amp; Clean Energy" queryTableFieldId="101" dataDxfId="378"/>
    <tableColumn id="99" xr3:uid="{CE0A2A40-3E2C-481A-8D0B-DB6FF7EBAD45}" uniqueName="99" name="SDG8 _x000a_Decent Work &amp; Economic Growth" queryTableFieldId="100" dataDxfId="377"/>
    <tableColumn id="98" xr3:uid="{50448F0B-E232-4B20-93E7-8290A189AF30}" uniqueName="98" name="SDG9_x000a_Industry, Innovation &amp; Infrastructure" queryTableFieldId="99" dataDxfId="376"/>
    <tableColumn id="97" xr3:uid="{72F1BB86-4528-4D30-ADF5-BC214FE1DF01}" uniqueName="97" name="SDG10_x000a_ Reduced inequalities" queryTableFieldId="98" dataDxfId="375"/>
    <tableColumn id="96" xr3:uid="{67DE8654-0079-43EA-817A-1A5285CD9B8F}" uniqueName="96" name="SDG11 Sustainable Cities &amp; Communities" queryTableFieldId="97" dataDxfId="374"/>
    <tableColumn id="95" xr3:uid="{431551E8-6B96-4758-AD0B-1C559A0BE4E1}" uniqueName="95" name="SDG12 Responsible Consumption &amp; Production" queryTableFieldId="96" dataDxfId="373"/>
    <tableColumn id="94" xr3:uid="{BA824189-517A-407D-9BE6-E3A9EA52FFDB}" uniqueName="94" name="SDG13_x000a_ Climate Action" queryTableFieldId="95" dataDxfId="372"/>
    <tableColumn id="93" xr3:uid="{2DF1ECA7-73D2-46DC-9AAA-0CD2ECF66859}" uniqueName="93" name="SDG14_x000a_Life Below Water" queryTableFieldId="94" dataDxfId="371"/>
    <tableColumn id="92" xr3:uid="{0FBEC211-FC23-4F34-A6D8-383F5BF46523}" uniqueName="92" name="SDG15 _x000a_Life on Land" queryTableFieldId="93" dataDxfId="370"/>
    <tableColumn id="91" xr3:uid="{C970545B-9A82-4104-9D46-2850CA3BC40D}" uniqueName="91" name="SDG16 Peace, Justice &amp; Strong Institutions" queryTableFieldId="92" dataDxfId="369"/>
    <tableColumn id="90" xr3:uid="{BF2C058E-7440-4970-AFBA-F90EC440F28C}" uniqueName="90" name="SDG17 Partnerships for the Goals" queryTableFieldId="91" dataDxfId="368"/>
    <tableColumn id="63" xr3:uid="{2F472FA0-46C3-443B-BF97-8836C767CAC6}" uniqueName="63" name="Country/Place" queryTableFieldId="64" dataDxfId="367"/>
    <tableColumn id="83" xr3:uid="{CCBCE624-6EC9-4A31-B0E1-169D33662C35}" uniqueName="83" name="Credit Type" queryTableFieldId="84" dataDxfId="366"/>
    <tableColumn id="84" xr3:uid="{F45A3F74-58B4-4A6E-A1F7-D03B9EEE2A2D}" uniqueName="84" name="Data Type" queryTableFieldId="85" dataDxfId="365"/>
    <tableColumn id="61" xr3:uid="{764B64BF-71D4-4A40-A4D4-521885763E91}" uniqueName="61" name="UAA" queryTableFieldId="62" dataDxfId="364"/>
    <tableColumn id="86" xr3:uid="{28DEE598-C056-455E-B535-9519AF477501}" uniqueName="86" name="Programme Category" queryTableFieldId="87" dataDxfId="363"/>
    <tableColumn id="87" xr3:uid="{EACCEB80-48EE-4F8F-A212-5EFAB766F680}" uniqueName="87" name="Whole Person Development Cocurriculum" queryTableFieldId="88" dataDxfId="362"/>
    <tableColumn id="88" xr3:uid="{293FBD18-F009-4421-99CE-002446E3D704}" uniqueName="88" name="Moral Education" queryTableFieldId="89" dataDxfId="361"/>
    <tableColumn id="89" xr3:uid="{58930991-938C-4C41-A04C-AFEDE2B7F473}" uniqueName="89" name="Social Responsible Citizenship" queryTableFieldId="90" dataDxfId="360"/>
    <tableColumn id="47" xr3:uid="{3189ACEC-24F9-400D-B43B-B6AB45C99E1A}" uniqueName="47" name="Lingnan Language Enhancement Initiative (L2EI)_x000a_(Y/N)" queryTableFieldId="186" dataDxfId="359"/>
    <tableColumn id="25" xr3:uid="{A6B86D50-5974-43B7-93A1-2C6034309199}" uniqueName="25" name="Leadership Enhancement Programme (LEP)_x000a_(Y/N)" queryTableFieldId="25" dataDxfId="358"/>
    <tableColumn id="66" xr3:uid="{BE5BB91A-D910-4C3A-8981-2AED3FF1B541}" uniqueName="66" name="TALENT - The Lingnan iPortfolio" queryTableFieldId="169" dataDxfId="357"/>
    <tableColumn id="67" xr3:uid="{23EA570B-111F-42BE-B72B-5C0391644D9F}" uniqueName="67" name="Has Registration" queryTableFieldId="170" dataDxfId="356"/>
    <tableColumn id="68" xr3:uid="{A69AE841-3C04-49C2-B0E7-51E29EF8989A}" uniqueName="68" name="OSA Portal Registration" queryTableFieldId="171" dataDxfId="35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7" tableType="queryTable" totalsRowShown="0" headerRowDxfId="354" dataDxfId="352" headerRowBorderDxfId="353" tableBorderDxfId="351" totalsRowBorderDxfId="350">
  <autoFilter ref="B2:DM47" xr:uid="{A40E3A6D-1066-4C6D-8DC4-5DAEE3358E36}"/>
  <tableColumns count="116">
    <tableColumn id="1" xr3:uid="{930B90FE-B301-42C0-81A6-55620C9A0577}" uniqueName="1" name="Term" queryTableFieldId="1" dataDxfId="349"/>
    <tableColumn id="2" xr3:uid="{CBABE2A0-56E6-40C3-8521-080FC30FDACE}" uniqueName="2" name="Course Code" queryTableFieldId="2" dataDxfId="348"/>
    <tableColumn id="3" xr3:uid="{28D982DA-59B6-4A3F-A07E-CF2CD3534AA4}" uniqueName="3" name="Part of Terms" queryTableFieldId="3" dataDxfId="347"/>
    <tableColumn id="4" xr3:uid="{A89CD247-1E9E-4AE3-B478-F94713219FC1}" uniqueName="4" name="CRN" queryTableFieldId="4" dataDxfId="346"/>
    <tableColumn id="59" xr3:uid="{F4AA4FD3-B050-4988-8370-029D6D4D5410}" uniqueName="59" name="Department / Unit" queryTableFieldId="59" dataDxfId="345"/>
    <tableColumn id="33" xr3:uid="{A4E2218A-5385-4CA2-BCFF-4336584B958E}" uniqueName="33" name="Team" queryTableFieldId="176" dataDxfId="344"/>
    <tableColumn id="5" xr3:uid="{9A76F67E-413A-492E-85EA-A9D3E9A21DD7}" uniqueName="5" name="Series Name (Chi)" queryTableFieldId="5" dataDxfId="343"/>
    <tableColumn id="6" xr3:uid="{659B6C7D-786B-49F6-966C-F07BA7707531}" uniqueName="6" name="Series Name (Eng)" queryTableFieldId="6" dataDxfId="342"/>
    <tableColumn id="7" xr3:uid="{D7AE79F3-0A36-438D-A9CB-644C2A4A983B}" uniqueName="7" name="Activity Title (Chi)" queryTableFieldId="7" dataDxfId="341"/>
    <tableColumn id="8" xr3:uid="{129350F3-AA18-49A0-BA92-9E65CF1EA070}" uniqueName="8" name="Activity Title (Eng)" queryTableFieldId="8" dataDxfId="340"/>
    <tableColumn id="57" xr3:uid="{FD11846B-1073-4F68-8B94-41012C8BC811}" uniqueName="57" name="Session Title" queryTableFieldId="57" dataDxfId="339"/>
    <tableColumn id="9" xr3:uid="{9E151A84-D3B0-4FEB-BEC2-F0F57B8F7239}" uniqueName="9" name="Objectives / Expected Learning Outcomes (Eng)" queryTableFieldId="9" dataDxfId="338"/>
    <tableColumn id="10" xr3:uid="{F01FDE15-372F-4215-921A-AF2F8890B223}" uniqueName="10" name="Description (Eng)" queryTableFieldId="10" dataDxfId="337"/>
    <tableColumn id="55" xr3:uid="{98E559A4-2E69-4871-BAB2-B5B793EFB6C3}" uniqueName="55" name="Include in Online Registration? _x000a_(Y/N)" queryTableFieldId="55" dataDxfId="336"/>
    <tableColumn id="44" xr3:uid="{8C4AE2A2-B243-475A-A4F9-CE474189AFCF}" uniqueName="44" name="Send Auto-reminder? _x000a_(Y/N)" queryTableFieldId="178" dataDxfId="335"/>
    <tableColumn id="75" xr3:uid="{5A2A6908-B070-4F97-BD4F-3E64C8899FFE}" uniqueName="75" name="Learning Domain" queryTableFieldId="76" dataDxfId="334"/>
    <tableColumn id="11" xr3:uid="{13960E96-EED1-4D6C-B229-56B221CDBDCF}" uniqueName="11" name="Learning Domain (Short)" queryTableFieldId="11" dataDxfId="333"/>
    <tableColumn id="12" xr3:uid="{39A7E4D1-2B95-44AA-B39A-1E21B89146DE}" uniqueName="12" name="Leadership LS" queryTableFieldId="12" dataDxfId="332"/>
    <tableColumn id="13" xr3:uid="{E086F06E-C4F7-4E16-9FBF-14845CF8EEB0}" uniqueName="13" name="Entrepreneurship ENT" queryTableFieldId="13" dataDxfId="331"/>
    <tableColumn id="14" xr3:uid="{BC4B3F70-60F6-40A5-AFDF-FE6CEC5E744F}" uniqueName="14" name="Well-being (Physical) WBP" queryTableFieldId="14" dataDxfId="330"/>
    <tableColumn id="15" xr3:uid="{524E2B67-169A-40F7-84FB-C61A9629A945}" uniqueName="15" name="Well-being (Mental) WBM" queryTableFieldId="15" dataDxfId="329"/>
    <tableColumn id="16" xr3:uid="{2827018E-5178-4B6A-9208-FFCBE9C028C1}" uniqueName="16" name="Language Enhancement LE" queryTableFieldId="16" dataDxfId="328"/>
    <tableColumn id="17" xr3:uid="{966B0B63-549E-4D11-95E1-F0B297E46B5A}" uniqueName="17" name="Cross-Cultural Appreciation_x000a_&amp; Integration CCAI" queryTableFieldId="17" dataDxfId="327"/>
    <tableColumn id="18" xr3:uid="{6A9AF517-C54F-420E-B71A-A7324500A1AA}" uniqueName="18" name="Sustainability SUS" queryTableFieldId="18" dataDxfId="326"/>
    <tableColumn id="19" xr3:uid="{9419E6B8-E411-48A8-ADFC-CB8DC67BB746}" uniqueName="19" name="Digital Literacy DL" queryTableFieldId="19" dataDxfId="325"/>
    <tableColumn id="20" xr3:uid="{4DE860EC-2FC2-4647-9A27-328743E910DC}" uniqueName="20" name="Career Development  CR" queryTableFieldId="20" dataDxfId="324"/>
    <tableColumn id="22" xr3:uid="{A9EF03D6-3204-4675-A296-80FCA67C296D}" uniqueName="22" name="Total" queryTableFieldId="22" dataDxfId="323"/>
    <tableColumn id="106" xr3:uid="{A82D5D48-C8F5-4D66-8851-EAB380FC3BEB}" uniqueName="106" name="Programme Type" queryTableFieldId="110" dataDxfId="322"/>
    <tableColumn id="23" xr3:uid="{3B54C390-21E3-4CF6-9049-7C9236207423}" uniqueName="23" name="Delivery Mode" queryTableFieldId="23" dataDxfId="321"/>
    <tableColumn id="24" xr3:uid="{D02C9C5C-A6E9-4284-8DBE-B7D1E41DB5E1}" uniqueName="24" name="Medium_x000a_of Instruction_x000a_(ENG)" queryTableFieldId="24" dataDxfId="320"/>
    <tableColumn id="77" xr3:uid="{AB6075AF-BB59-4238-933A-364B5D8DD6BC}" uniqueName="77" name="Medium_x000a_of Instruction_x000a_(Cantonese)" queryTableFieldId="78" dataDxfId="319"/>
    <tableColumn id="76" xr3:uid="{DFEE471F-FC34-4A25-8516-D9182D0CFC02}" uniqueName="76" name="Medium_x000a_of Instruction_x000a_(PTH)" queryTableFieldId="77" dataDxfId="318"/>
    <tableColumn id="26" xr3:uid="{5BF673D9-DF9E-49F5-8FCB-A6266C110C8F}" uniqueName="26" name="ILP Units Per Session" queryTableFieldId="26" dataDxfId="317"/>
    <tableColumn id="27" xr3:uid="{CDB6B9E0-F24D-405D-ACE4-6659C77D547D}" uniqueName="27" name="Quota" queryTableFieldId="27" dataDxfId="316"/>
    <tableColumn id="28" xr3:uid="{DBED6D76-DBA4-4113-A878-B2678BEF2EA4}" uniqueName="28" name="Total Units to be Offered" queryTableFieldId="28" dataDxfId="315"/>
    <tableColumn id="29" xr3:uid="{D027E802-D229-4559-9CE9-AD869E7E6CBE}" uniqueName="29" name="Lesson 1 _x000a_Date _x000a_(DD-MMM-YYYY)" queryTableFieldId="29" dataDxfId="314"/>
    <tableColumn id="105" xr3:uid="{9224A838-5BD0-4EFE-8CFA-6C370F42CE0C}" uniqueName="105" name="Lesson 1 (DOW)" queryTableFieldId="109" dataDxfId="313">
      <calculatedColumnFormula>WEEKDAY(Sheet_1_Table_1_133[[#This Row],[Lesson 1 
Date 
(DD-MMM-YYYY)]])</calculatedColumnFormula>
    </tableColumn>
    <tableColumn id="103" xr3:uid="{ACC8602C-24B7-4AB6-8496-2097A3FA6E34}" uniqueName="103" name="Lesson 1 _x000a_Start Time_x000a_(HH:MM)" queryTableFieldId="107" dataDxfId="312"/>
    <tableColumn id="56" xr3:uid="{ADFAC8DC-E2D3-4506-B5A0-CE87A3FFDC24}" uniqueName="56" name="Lesson 1_x000a_End Time_x000a_(HH:MM)" queryTableFieldId="163" dataDxfId="311"/>
    <tableColumn id="58" xr3:uid="{142B53C9-E994-4B24-92D4-B74FFB9E21A7}" uniqueName="58" name="Lesson 1 _x000a_Venue" queryTableFieldId="58" dataDxfId="310"/>
    <tableColumn id="113" xr3:uid="{5A6F4553-367D-4F8A-A603-A77AEE8458BF}" uniqueName="113" name="Lesson 2_x000a_Date _x000a_(DD-MMM-YYYY)" queryTableFieldId="120" dataDxfId="309"/>
    <tableColumn id="114" xr3:uid="{7E59628D-FD36-4DC1-8358-937FE865557B}" uniqueName="114" name="Lesson 2 (DOW)" queryTableFieldId="119" dataDxfId="308">
      <calculatedColumnFormula>WEEKDAY(Sheet_1_Table_1_133[[#This Row],[Lesson 2
Date 
(DD-MMM-YYYY)]]
)</calculatedColumnFormula>
    </tableColumn>
    <tableColumn id="115" xr3:uid="{51D6AE88-DF93-4484-8FBE-EA9B5BC176A0}" uniqueName="115" name="Lesson 2_x000a_Start Time_x000a_(HH:MM)" queryTableFieldId="118" dataDxfId="307"/>
    <tableColumn id="60" xr3:uid="{3299FF39-6F6A-465D-91F9-74733ACF42B8}" uniqueName="60" name="Lesson 2_x000a_End Time_x000a_(HH:MM)" queryTableFieldId="164" dataDxfId="306"/>
    <tableColumn id="116" xr3:uid="{478A9C49-24BA-46C0-BD27-D1B9B886750B}" uniqueName="116" name="Lesson 2_x000a_ Venue" queryTableFieldId="117" dataDxfId="305"/>
    <tableColumn id="104" xr3:uid="{998B92A3-DD9A-4A28-8C1F-EAA3C48CBD7E}" uniqueName="104" name="Lesson 3_x000a_Date _x000a_(DD-MMM-YYYY)" queryTableFieldId="108" dataDxfId="304"/>
    <tableColumn id="112" xr3:uid="{5E58333E-446F-4ACF-926F-061E7F56F6FD}" uniqueName="112" name="Lesson 3 (DOW)" queryTableFieldId="116" dataDxfId="303">
      <calculatedColumnFormula>WEEKDAY([8]!Sheet_1_Table_1_13[[#This Row],[Lesson 3
Date 
(DD-MMM-YYYY)]])</calculatedColumnFormula>
    </tableColumn>
    <tableColumn id="111" xr3:uid="{10B3C902-90E5-4DF8-A6B2-05C04D61B5D1}" uniqueName="111" name="Lesson 3_x000a_Start Time_x000a_(HH:MM)" queryTableFieldId="115" dataDxfId="302"/>
    <tableColumn id="62" xr3:uid="{F04E0CCC-67AE-4F69-9DD3-98D9244C750B}" uniqueName="62" name="Lesson 3_x000a_End Time_x000a_(HH:MM)" queryTableFieldId="165" dataDxfId="301"/>
    <tableColumn id="110" xr3:uid="{9859E846-065A-45AC-AC88-614EADAC9ABB}" uniqueName="110" name="Lesson 3_x000a_ Venue" queryTableFieldId="114" dataDxfId="300"/>
    <tableColumn id="109" xr3:uid="{EBAC52FF-DD2D-438B-8053-0BBA82A76B16}" uniqueName="109" name="Lesson 4_x000a_Date _x000a_(DD-MMM-YYYY)" queryTableFieldId="113" dataDxfId="299"/>
    <tableColumn id="108" xr3:uid="{6486D563-F6F2-40E3-AE58-E08F6C70329F}" uniqueName="108" name="Lesson 4 (DOW)" queryTableFieldId="112" dataDxfId="298">
      <calculatedColumnFormula>WEEKDAY([8]!Sheet_1_Table_1_13[[#This Row],[Lesson 4
Date 
(DD-MMM-YYYY)]])</calculatedColumnFormula>
    </tableColumn>
    <tableColumn id="117" xr3:uid="{A06F9E89-A6B2-4D68-9F42-EF9D99694ABC}" uniqueName="117" name="Lesson 4_x000a_Start Time_x000a_(HH:MM)" queryTableFieldId="121" dataDxfId="297"/>
    <tableColumn id="64" xr3:uid="{90E8D4D3-2F85-49B9-901D-967ACE649D60}" uniqueName="64" name="Lesson 4_x000a_End Time_x000a_(HH:MM)" queryTableFieldId="166" dataDxfId="296"/>
    <tableColumn id="107" xr3:uid="{8F47772E-5592-4333-A5D6-5B4B522E157F}" uniqueName="107" name="Lesson 4_x000a_ Venue" queryTableFieldId="111" dataDxfId="295"/>
    <tableColumn id="122" xr3:uid="{68CB7771-4EC1-4BC0-B516-65A71807DBCA}" uniqueName="122" name="Lesson 5_x000a_Date _x000a_(DD-MMM-YYYY)" queryTableFieldId="130" dataDxfId="294"/>
    <tableColumn id="123" xr3:uid="{6733963B-F04B-4DF7-919A-990CBEDD5459}" uniqueName="123" name="Lesson 5 (DOW)" queryTableFieldId="129" dataDxfId="293">
      <calculatedColumnFormula>WEEKDAY([8]!Sheet_1_Table_1_13[[#This Row],[Lesson 5
Date 
(DD-MMM-YYYY)]])</calculatedColumnFormula>
    </tableColumn>
    <tableColumn id="124" xr3:uid="{2B61F162-D793-46DF-9FD6-6E9CC1FE4400}" uniqueName="124" name="Lesson 5_x000a_Start Time_x000a_(HH:MM)" queryTableFieldId="128" dataDxfId="292"/>
    <tableColumn id="65" xr3:uid="{50E589FD-F267-44E5-B3EB-59997E7D88DC}" uniqueName="65" name="Lesson 5_x000a_End Time_x000a_(HH:MM)" queryTableFieldId="167" dataDxfId="291"/>
    <tableColumn id="125" xr3:uid="{412CD402-3413-4D5C-BFF0-21BF7B93C3DD}" uniqueName="125" name="Lesson 5_x000a_ Venue" queryTableFieldId="127" dataDxfId="290"/>
    <tableColumn id="118" xr3:uid="{0D7E8258-48CD-450A-9717-801021068BF0}" uniqueName="118" name="Lesson 6_x000a_Date _x000a_(DD-MMM-YYYY)" queryTableFieldId="126" dataDxfId="289"/>
    <tableColumn id="119" xr3:uid="{FBEF761E-0A02-4F72-81AC-2DE9D6E49891}" uniqueName="119" name="Lesson 6 (DOW)" queryTableFieldId="125" dataDxfId="288">
      <calculatedColumnFormula>WEEKDAY([8]!Sheet_1_Table_1_13[[#This Row],[Lesson 6
Date 
(DD-MMM-YYYY)]])</calculatedColumnFormula>
    </tableColumn>
    <tableColumn id="120" xr3:uid="{11622C98-B2F0-41B0-AFD7-E85A5C08EA4E}" uniqueName="120" name="Lesson 6_x000a_Start Time_x000a_(HH:MM)" queryTableFieldId="124" dataDxfId="287"/>
    <tableColumn id="43" xr3:uid="{B13CF8E9-02E8-4798-AACE-A9F6F6F4C733}" uniqueName="43" name="Lesson 6_x000a_End Time_x000a_(HH:MM)" queryTableFieldId="162" dataDxfId="286"/>
    <tableColumn id="121" xr3:uid="{A578EB00-9C8A-452A-B11D-2C432E6548C5}" uniqueName="121" name="Lesson 6_x000a_ Venue" queryTableFieldId="123" dataDxfId="285"/>
    <tableColumn id="21" xr3:uid="{041DE6C0-2D38-4E5E-B06A-C7A585F08D0A}" uniqueName="21" name="Instructor / Speaker (1)_x000a_Title" queryTableFieldId="132" dataDxfId="284"/>
    <tableColumn id="34" xr3:uid="{195E422F-F570-4051-B1BC-31F24FD94363}" uniqueName="34" name="Instructor / Speaker (1)_x000a_First Name" queryTableFieldId="34" dataDxfId="283"/>
    <tableColumn id="30" xr3:uid="{58256E45-9070-409C-9670-DF54BB461719}" uniqueName="30" name="Instructor / Speaker (1)_x000a_Last Name _x000a_(in CAPITAL letter)" queryTableFieldId="133" dataDxfId="282"/>
    <tableColumn id="35" xr3:uid="{086663E1-424C-4E24-BB17-4F01286D3E70}" uniqueName="35" name="Instructor / Speaker (1)_x000a_Job Title" queryTableFieldId="35" dataDxfId="281"/>
    <tableColumn id="37" xr3:uid="{C0B5D77F-A0EF-4D05-AF7A-E569DA11392B}" uniqueName="37" name="Instructor / Speaker (2)_x000a_Title" queryTableFieldId="137" dataDxfId="280"/>
    <tableColumn id="36" xr3:uid="{93149866-B48E-45EE-9F18-77568C9C8BB0}" uniqueName="36" name="Instructor / Speaker (2)_x000a_First Name" queryTableFieldId="136" dataDxfId="279"/>
    <tableColumn id="32" xr3:uid="{36810813-7A1A-4AAA-A0E6-3B18850C1595}" uniqueName="32" name="Instructor / Speaker (2)_x000a_Last Name _x000a_(in CAPITAL letter)" queryTableFieldId="135" dataDxfId="278"/>
    <tableColumn id="31" xr3:uid="{BF1D0370-2B83-4BC4-8F80-C7B1F73EB9FF}" uniqueName="31" name="Instructor / Speaker (2)_x000a_Job Title" queryTableFieldId="134" dataDxfId="277"/>
    <tableColumn id="40" xr3:uid="{CEA7FC35-529E-4293-8C6C-4E9B2C0BADD0}" uniqueName="40" name="Fees" queryTableFieldId="179" dataDxfId="276"/>
    <tableColumn id="78" xr3:uid="{A9CF10D2-E4E1-4FF4-9DAA-85A14D0BA5B3}" uniqueName="78" name="Deposits" queryTableFieldId="79" dataDxfId="275"/>
    <tableColumn id="38" xr3:uid="{04256680-D066-4623-B708-3EEF796C223C}" uniqueName="38" name="Assembly Time _x000a_(for Off-campus Visit)" queryTableFieldId="38" dataDxfId="274"/>
    <tableColumn id="69" xr3:uid="{5EB26A47-B6DA-49DB-AF56-D85D22D0779E}" uniqueName="69" name="Assembly Location_x000a_(for Off-campus Visit)" queryTableFieldId="172" dataDxfId="273"/>
    <tableColumn id="39" xr3:uid="{B3CAC080-199D-4BF1-B401-72F47C609304}" uniqueName="39" name="Remarks to Students (if applicable)" queryTableFieldId="39" dataDxfId="272"/>
    <tableColumn id="70" xr3:uid="{386C1BD5-BD97-4E78-9640-036EF853606C}" uniqueName="70" name="Zoom URL_x000a_(if any)" queryTableFieldId="183" dataDxfId="271"/>
    <tableColumn id="42" xr3:uid="{BA168F87-2937-4EB9-89F4-37CB69821283}" uniqueName="42" name="Meeting ID_x000a_(if any)" queryTableFieldId="181" dataDxfId="270"/>
    <tableColumn id="41" xr3:uid="{C291339B-5523-4FB1-9230-C214C3178DB9}" uniqueName="41" name="Meeting Passcode_x000a_(if any)" queryTableFieldId="180" dataDxfId="269"/>
    <tableColumn id="72" xr3:uid="{F634531F-2952-4948-936A-38189C99DC86}" uniqueName="72" name="Programme In-charge 1_x000a_Name" queryTableFieldId="184" dataDxfId="268"/>
    <tableColumn id="73" xr3:uid="{0A6082FE-FDAF-4FB1-B77D-FA82530D772C}" uniqueName="73" name="Programme In-charge 1_x000a_Email" queryTableFieldId="185" dataDxfId="267"/>
    <tableColumn id="45" xr3:uid="{24E5D6AB-B717-4727-9855-CF9B40C224E6}" uniqueName="45" name="Programme In-charge 2_x000a_Name" queryTableFieldId="45" dataDxfId="266"/>
    <tableColumn id="46" xr3:uid="{EDB936B2-82C4-4B83-AC9C-10F9AE06D228}" uniqueName="46" name="Programme In-charge 2_x000a_Email" queryTableFieldId="46" dataDxfId="265"/>
    <tableColumn id="49" xr3:uid="{4B187E53-60DD-47F9-B781-756ECFDB5520}" uniqueName="49" name="Sustainable Development Goals (Y/N)" queryTableFieldId="49" dataDxfId="264"/>
    <tableColumn id="50" xr3:uid="{23B122C6-C08B-4FB6-A378-59B85B93611D}" uniqueName="50" name="SDG1 _x000a_No Poverty" queryTableFieldId="50" dataDxfId="263"/>
    <tableColumn id="51" xr3:uid="{3E05CBAD-C32C-4E53-8261-0C847F8D0757}" uniqueName="51" name="SDG2_x000a_Zero Hunger" queryTableFieldId="51" dataDxfId="262"/>
    <tableColumn id="52" xr3:uid="{EE7FD5A1-6D6B-4E32-9498-64B40CA25B03}" uniqueName="52" name="SDG3_x000a_Good Health and well-being" queryTableFieldId="52" dataDxfId="261"/>
    <tableColumn id="53" xr3:uid="{ADF03271-935C-4A92-ACA3-F7933682E0E8}" uniqueName="53" name="SDG4_x000a_Quality Education" queryTableFieldId="53" dataDxfId="260"/>
    <tableColumn id="54" xr3:uid="{8A245432-77E1-46FF-BEE7-939EF0DB9DC3}" uniqueName="54" name="SDG5_x000a_ Gender Equality" queryTableFieldId="54" dataDxfId="259"/>
    <tableColumn id="101" xr3:uid="{389570D4-29A1-4DA0-8FBC-7D5DEBD6458D}" uniqueName="101" name="SDG6_x000a_ Clean Water &amp; Sanitation" queryTableFieldId="102" dataDxfId="258"/>
    <tableColumn id="100" xr3:uid="{61FC5E6C-A7B8-48B3-8BEC-D4A82B485439}" uniqueName="100" name="SDG7 Affordable &amp; Clean Energy" queryTableFieldId="101" dataDxfId="257"/>
    <tableColumn id="99" xr3:uid="{CBE3DBA5-4C68-4483-96BA-C8B78D08144F}" uniqueName="99" name="SDG8 _x000a_Decent Work &amp; Economic Growth" queryTableFieldId="100" dataDxfId="256"/>
    <tableColumn id="98" xr3:uid="{DF281FDB-F002-4262-8CA4-5A01B01F4989}" uniqueName="98" name="SDG9_x000a_Industry, Innovation &amp; Infrastructure" queryTableFieldId="99" dataDxfId="255"/>
    <tableColumn id="97" xr3:uid="{7E816ADD-BC82-44D3-AC7E-0E5766E3F585}" uniqueName="97" name="SDG10_x000a_ Reduced inequalities" queryTableFieldId="98" dataDxfId="254"/>
    <tableColumn id="96" xr3:uid="{9975E28D-AD54-40A4-8526-E9A50D142F71}" uniqueName="96" name="SDG11 Sustainable Cities &amp; Communities" queryTableFieldId="97" dataDxfId="253"/>
    <tableColumn id="95" xr3:uid="{5919869B-50D4-488B-B5EB-53B8F6F1C0B0}" uniqueName="95" name="SDG12 Responsible Consumption &amp; Production" queryTableFieldId="96" dataDxfId="252"/>
    <tableColumn id="94" xr3:uid="{8048E690-2C36-4482-B5BC-1092F20DEE34}" uniqueName="94" name="SDG13_x000a_ Climate Action" queryTableFieldId="95" dataDxfId="251"/>
    <tableColumn id="93" xr3:uid="{5763CFEA-D48D-4C7C-9D89-84BCB697DA66}" uniqueName="93" name="SDG14_x000a_Life Below Water" queryTableFieldId="94" dataDxfId="250"/>
    <tableColumn id="92" xr3:uid="{143D27F3-BAEE-446E-B740-120AC54BC818}" uniqueName="92" name="SDG15 _x000a_Life on Land" queryTableFieldId="93" dataDxfId="249"/>
    <tableColumn id="91" xr3:uid="{E67A19F6-EEBA-4BFA-B233-9AFA84E30800}" uniqueName="91" name="SDG16 Peace, Justice &amp; Strong Institutions" queryTableFieldId="92" dataDxfId="248"/>
    <tableColumn id="90" xr3:uid="{383CD302-E932-4648-BFD7-1F08647C882B}" uniqueName="90" name="SDG17 Partnerships for the Goals" queryTableFieldId="91" dataDxfId="247"/>
    <tableColumn id="63" xr3:uid="{7D933F42-CD05-4418-929E-50CE17080821}" uniqueName="63" name="Country/Place" queryTableFieldId="64" dataDxfId="246"/>
    <tableColumn id="83" xr3:uid="{40C84A59-2955-41B0-881A-FD63377FB53D}" uniqueName="83" name="Credit Type" queryTableFieldId="84" dataDxfId="245"/>
    <tableColumn id="84" xr3:uid="{C57F757F-B2E8-4B29-9E1F-E97D6A8A056B}" uniqueName="84" name="Data Type" queryTableFieldId="85" dataDxfId="244"/>
    <tableColumn id="61" xr3:uid="{B134F0F1-2558-40EF-990A-22D66651302D}" uniqueName="61" name="UAA" queryTableFieldId="62" dataDxfId="243"/>
    <tableColumn id="86" xr3:uid="{D347F60A-1B9E-4C7E-A305-96EBC0F60A9D}" uniqueName="86" name="Programme Category" queryTableFieldId="87" dataDxfId="242"/>
    <tableColumn id="87" xr3:uid="{67F163CE-5578-4326-855B-A8D13D51AAE7}" uniqueName="87" name="Whole Person Development Cocurriculum" queryTableFieldId="88" dataDxfId="241"/>
    <tableColumn id="88" xr3:uid="{78F718C7-D9B0-4F0C-B6D4-5EBDA29032D5}" uniqueName="88" name="Moral Education" queryTableFieldId="89" dataDxfId="240"/>
    <tableColumn id="89" xr3:uid="{65623F4B-7653-431D-A0A6-7A28571200C8}" uniqueName="89" name="Social Responsible Citizenship" queryTableFieldId="90" dataDxfId="239"/>
    <tableColumn id="47" xr3:uid="{D2ECE4B5-10F9-48C2-A98A-FC5CD3C0EDEB}" uniqueName="47" name="Lingnan Language Enhancement Initiative (L2EI)_x000a_(Y/N)" queryTableFieldId="186" dataDxfId="238"/>
    <tableColumn id="25" xr3:uid="{5159C862-6E1E-488A-A3A1-DB5B90B9CAD5}" uniqueName="25" name="Leadership Enhancement Programme (LEP)_x000a_(Y/N)" queryTableFieldId="25" dataDxfId="237"/>
    <tableColumn id="66" xr3:uid="{236F65D3-1803-4214-A794-40EFCF7B3E28}" uniqueName="66" name="TALENT - The Lingnan iPortfolio" queryTableFieldId="169" dataDxfId="236"/>
    <tableColumn id="67" xr3:uid="{09551F30-EC48-481D-B382-4CA91BAFE463}" uniqueName="67" name="Has Registration" queryTableFieldId="170" dataDxfId="235"/>
    <tableColumn id="68" xr3:uid="{FDA6A5C8-4828-4462-9FAF-B33C2E4B5989}" uniqueName="68" name="OSA Portal Registration" queryTableFieldId="171" dataDxfId="23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M74" tableType="queryTable" totalsRowShown="0" headerRowDxfId="233" dataDxfId="231" headerRowBorderDxfId="232" tableBorderDxfId="230" totalsRowBorderDxfId="229">
  <autoFilter ref="B2:DM74" xr:uid="{A40E3A6D-1066-4C6D-8DC4-5DAEE3358E36}"/>
  <tableColumns count="116">
    <tableColumn id="1" xr3:uid="{60556F57-B2D3-4D38-B80F-EF2844135951}" uniqueName="1" name="Term" queryTableFieldId="1" dataDxfId="228"/>
    <tableColumn id="2" xr3:uid="{3DF70852-0FA4-4719-85FA-40D142F0437B}" uniqueName="2" name="Course Code" queryTableFieldId="2" dataDxfId="227"/>
    <tableColumn id="3" xr3:uid="{DE9A5E27-0AD0-4C47-888A-8DB48368DC0B}" uniqueName="3" name="Part of Terms" queryTableFieldId="3" dataDxfId="226"/>
    <tableColumn id="4" xr3:uid="{53DCC184-111A-4A4C-A381-3B1D3F71B8DB}" uniqueName="4" name="CRN" queryTableFieldId="4" dataDxfId="225"/>
    <tableColumn id="59" xr3:uid="{C13D6ED3-2343-46DD-A084-AA1333ACD9E3}" uniqueName="59" name="Department / Unit" queryTableFieldId="59" dataDxfId="224"/>
    <tableColumn id="33" xr3:uid="{737CC7AA-E4DA-4ED6-AD3E-19B6BD6EFDEC}" uniqueName="33" name="Team" queryTableFieldId="176" dataDxfId="223"/>
    <tableColumn id="5" xr3:uid="{3E9C06D7-919A-4A84-9AAD-695DB0888492}" uniqueName="5" name="Series Name (Chi)" queryTableFieldId="5" dataDxfId="222"/>
    <tableColumn id="6" xr3:uid="{E3F114BA-14DB-4E45-90C4-99B6BBD46994}" uniqueName="6" name="Series Name (Eng)" queryTableFieldId="6" dataDxfId="221"/>
    <tableColumn id="7" xr3:uid="{8970214E-9C76-4544-9A9D-BD37FBB582FA}" uniqueName="7" name="Activity Title (Chi)" queryTableFieldId="7" dataDxfId="220"/>
    <tableColumn id="8" xr3:uid="{BEA2F4F4-6951-46E9-9DC2-41BC7D00EB74}" uniqueName="8" name="Activity Title (Eng)" queryTableFieldId="8" dataDxfId="219"/>
    <tableColumn id="57" xr3:uid="{81704F3B-A126-47FF-8608-5436A30D855A}" uniqueName="57" name="Session Title" queryTableFieldId="57" dataDxfId="218"/>
    <tableColumn id="9" xr3:uid="{3F7F9F16-0D50-48C8-ACA4-E3AD2F7B0B33}" uniqueName="9" name="Objectives / Expected Learning Outcomes (Eng)" queryTableFieldId="9" dataDxfId="217"/>
    <tableColumn id="10" xr3:uid="{F3537F55-253F-4EAB-99E1-04B5A1916870}" uniqueName="10" name="Description (Eng)" queryTableFieldId="10" dataDxfId="216"/>
    <tableColumn id="55" xr3:uid="{2D1CEE84-F32D-4B7F-98BC-04105819BF1F}" uniqueName="55" name="Include in Online Registration? _x000a_(Y/N)" queryTableFieldId="55" dataDxfId="215"/>
    <tableColumn id="44" xr3:uid="{2117A00E-E171-4199-A5CC-74DCD85DA0F9}" uniqueName="44" name="Send Auto-reminder? _x000a_(Y/N)" queryTableFieldId="178" dataDxfId="214"/>
    <tableColumn id="75" xr3:uid="{3490869D-2017-49AA-BC24-CCCF9F4D1DBB}" uniqueName="75" name="Learning Domain" queryTableFieldId="76" dataDxfId="213"/>
    <tableColumn id="11" xr3:uid="{465E1DF1-AE33-4C38-B762-E62052AA5C87}" uniqueName="11" name="Learning Domain (Short)" queryTableFieldId="11" dataDxfId="212"/>
    <tableColumn id="12" xr3:uid="{BB9EC229-7675-4093-AA48-4008A6BD118A}" uniqueName="12" name="Leadership LS" queryTableFieldId="12" dataDxfId="211"/>
    <tableColumn id="13" xr3:uid="{5A49FEC0-6B11-4774-9DCC-05B3345DB743}" uniqueName="13" name="Entrepreneurship ENT" queryTableFieldId="13" dataDxfId="210"/>
    <tableColumn id="14" xr3:uid="{D88739E0-BEE4-46CC-AB7C-227A7987F6A8}" uniqueName="14" name="Well-being (Physical) WBP" queryTableFieldId="14" dataDxfId="209"/>
    <tableColumn id="15" xr3:uid="{7241E24E-E7DF-4250-BDFE-8DF02C149C1F}" uniqueName="15" name="Well-being (Mental) WBM" queryTableFieldId="15" dataDxfId="208"/>
    <tableColumn id="16" xr3:uid="{BFCFAA18-5107-4799-AF32-1D65AD03F1EC}" uniqueName="16" name="Language Enhancement LE" queryTableFieldId="16" dataDxfId="207"/>
    <tableColumn id="17" xr3:uid="{2B384ACE-EDA2-413B-A3A0-720767A99E1F}" uniqueName="17" name="Cross-Cultural Appreciation_x000a_&amp; Integration CCAI" queryTableFieldId="17" dataDxfId="206"/>
    <tableColumn id="18" xr3:uid="{E3DCC4EC-4E35-4EC9-A658-4BBD7EB5EDC3}" uniqueName="18" name="Sustainability SUS" queryTableFieldId="18" dataDxfId="205"/>
    <tableColumn id="19" xr3:uid="{F693B56E-35C8-41D4-AE3E-B9C637B89557}" uniqueName="19" name="Digital Literacy DL" queryTableFieldId="19" dataDxfId="204"/>
    <tableColumn id="20" xr3:uid="{65D69389-6591-48AD-869B-A1405FC5D439}" uniqueName="20" name="Career Development  CR" queryTableFieldId="20" dataDxfId="203"/>
    <tableColumn id="22" xr3:uid="{0A18CFA6-7DA3-49A7-A5DA-B342F2991D14}" uniqueName="22" name="Total" queryTableFieldId="22" dataDxfId="202"/>
    <tableColumn id="106" xr3:uid="{FE1203CC-752A-4C9B-A094-5925550444F9}" uniqueName="106" name="Programme Type" queryTableFieldId="110" dataDxfId="201"/>
    <tableColumn id="23" xr3:uid="{E20F8AAB-C4D2-4A93-BAF9-99766BA48671}" uniqueName="23" name="Delivery Mode" queryTableFieldId="23" dataDxfId="200"/>
    <tableColumn id="24" xr3:uid="{F65889EC-CE39-4908-BE2D-FC48C8285BCC}" uniqueName="24" name="Medium_x000a_of Instruction_x000a_(ENG)" queryTableFieldId="24" dataDxfId="199"/>
    <tableColumn id="77" xr3:uid="{89DF5041-74FB-4B0D-A95F-43EF947DB51B}" uniqueName="77" name="Medium_x000a_of Instruction_x000a_(Cantonese)" queryTableFieldId="78" dataDxfId="198"/>
    <tableColumn id="76" xr3:uid="{262C86AF-DA97-4020-8AB1-0A3C6C1B74D3}" uniqueName="76" name="Medium_x000a_of Instruction_x000a_(PTH)" queryTableFieldId="77" dataDxfId="197"/>
    <tableColumn id="26" xr3:uid="{D97C5760-04E9-4886-91A5-46FE7826196E}" uniqueName="26" name="ILP Units Per Session" queryTableFieldId="26" dataDxfId="196"/>
    <tableColumn id="27" xr3:uid="{803FBEAB-B411-43CB-96EB-C24453380768}" uniqueName="27" name="Quota" queryTableFieldId="27" dataDxfId="195"/>
    <tableColumn id="28" xr3:uid="{F5980D7D-6484-40B3-ADCA-766462C4FAD1}" uniqueName="28" name="Total Units to be Offered" queryTableFieldId="28" dataDxfId="194"/>
    <tableColumn id="29" xr3:uid="{4BF3FCAA-9DB6-488A-BBDA-5E66180E478B}" uniqueName="29" name="Lesson 1 _x000a_Date _x000a_(DD-MMM-YYYY)" queryTableFieldId="29" dataDxfId="193"/>
    <tableColumn id="105" xr3:uid="{D154DB30-D54E-4BDC-A087-0C4C8BE36393}" uniqueName="105" name="Lesson 1 (DOW)" queryTableFieldId="109" dataDxfId="192">
      <calculatedColumnFormula>WEEKDAY(Sheet_1_Table_1_136[[#This Row],[Lesson 1 
Date 
(DD-MMM-YYYY)]])</calculatedColumnFormula>
    </tableColumn>
    <tableColumn id="103" xr3:uid="{0C0E2EF4-35D6-496D-A301-26165CC0376B}" uniqueName="103" name="Lesson 1 _x000a_Start Time_x000a_(HH:MM)" queryTableFieldId="107" dataDxfId="191"/>
    <tableColumn id="56" xr3:uid="{B4D88854-73DD-4DC1-8CC7-0264E8173A70}" uniqueName="56" name="Lesson 1_x000a_End Time_x000a_(HH:MM)" queryTableFieldId="163" dataDxfId="190"/>
    <tableColumn id="58" xr3:uid="{7865A361-0968-457E-BD90-804A03CA26AE}" uniqueName="58" name="Lesson 1 _x000a_Venue" queryTableFieldId="58" dataDxfId="189"/>
    <tableColumn id="113" xr3:uid="{C6A92FC8-01A7-4508-BAD9-1E06544F687C}" uniqueName="113" name="Lesson 2_x000a_Date _x000a_(DD-MMM-YYYY)" queryTableFieldId="120" dataDxfId="188"/>
    <tableColumn id="114" xr3:uid="{52BB3589-EF1F-4976-B490-E15FB7A5E1D9}" uniqueName="114" name="Lesson 2 (DOW)" queryTableFieldId="119" dataDxfId="187">
      <calculatedColumnFormula>WEEKDAY(Sheet_1_Table_1_136[[#This Row],[Lesson 2
Date 
(DD-MMM-YYYY)]])</calculatedColumnFormula>
    </tableColumn>
    <tableColumn id="115" xr3:uid="{B2A86CD2-88B7-4CF5-88AC-E56C601282EF}" uniqueName="115" name="Lesson 2_x000a_Start Time_x000a_(HH:MM)" queryTableFieldId="118" dataDxfId="186"/>
    <tableColumn id="60" xr3:uid="{DEB20373-0DAE-4788-987A-2639B966FA8B}" uniqueName="60" name="Lesson 2_x000a_End Time_x000a_(HH:MM)" queryTableFieldId="164" dataDxfId="185"/>
    <tableColumn id="116" xr3:uid="{3CB168E5-2497-4271-BFFE-E796EEB1456A}" uniqueName="116" name="Lesson 2_x000a_ Venue" queryTableFieldId="117" dataDxfId="184"/>
    <tableColumn id="104" xr3:uid="{02F0DB5D-0A8B-42EF-B074-18241B8302BD}" uniqueName="104" name="Lesson 3_x000a_Date _x000a_(DD-MMM-YYYY)" queryTableFieldId="108" dataDxfId="183"/>
    <tableColumn id="112" xr3:uid="{D458A74E-751E-42F4-B156-AD0872BDF2BF}" uniqueName="112" name="Lesson 3 (DOW)" queryTableFieldId="116" dataDxfId="182">
      <calculatedColumnFormula>WEEKDAY(Sheet_1_Table_1_136[[#This Row],[Lesson 3
Date 
(DD-MMM-YYYY)]])</calculatedColumnFormula>
    </tableColumn>
    <tableColumn id="111" xr3:uid="{C3375B10-A3A5-425E-81D4-92DCCC8AA77D}" uniqueName="111" name="Lesson 3_x000a_Start Time_x000a_(HH:MM)" queryTableFieldId="115" dataDxfId="181"/>
    <tableColumn id="62" xr3:uid="{FD4D10C6-0960-4359-AE6B-D76B11D0912B}" uniqueName="62" name="Lesson 3_x000a_End Time_x000a_(HH:MM)" queryTableFieldId="165" dataDxfId="180"/>
    <tableColumn id="110" xr3:uid="{75EC5A1F-C7BD-4AC9-9F3E-9E27383C220E}" uniqueName="110" name="Lesson 3_x000a_ Venue" queryTableFieldId="114" dataDxfId="179"/>
    <tableColumn id="109" xr3:uid="{085B5DC1-7667-49A5-84E8-0E7AA4DB5C1E}" uniqueName="109" name="Lesson 4_x000a_Date _x000a_(DD-MMM-YYYY)" queryTableFieldId="113" dataDxfId="178"/>
    <tableColumn id="108" xr3:uid="{88500714-560B-48B5-BC56-4EFC7151AA47}" uniqueName="108" name="Lesson 4 (DOW)" queryTableFieldId="112" dataDxfId="177">
      <calculatedColumnFormula>WEEKDAY(Sheet_1_Table_1_136[[#This Row],[Lesson 4
Date 
(DD-MMM-YYYY)]])</calculatedColumnFormula>
    </tableColumn>
    <tableColumn id="117" xr3:uid="{3DE26E74-DD8A-4653-ABB1-C3257F0FEE3E}" uniqueName="117" name="Lesson 4_x000a_Start Time_x000a_(HH:MM)" queryTableFieldId="121" dataDxfId="176"/>
    <tableColumn id="64" xr3:uid="{3E8277AA-D097-44F1-BE14-0D8E2E04516E}" uniqueName="64" name="Lesson 4_x000a_End Time_x000a_(HH:MM)" queryTableFieldId="166" dataDxfId="175"/>
    <tableColumn id="107" xr3:uid="{3A2D6F68-5FE0-48A8-9D3B-6CC31320D01B}" uniqueName="107" name="Lesson 4_x000a_ Venue" queryTableFieldId="111" dataDxfId="174"/>
    <tableColumn id="122" xr3:uid="{C4EA56A9-245C-45B9-AFCC-ED0DE7CD0593}" uniqueName="122" name="Lesson 5_x000a_Date _x000a_(DD-MMM-YYYY)" queryTableFieldId="130" dataDxfId="173"/>
    <tableColumn id="123" xr3:uid="{9423B510-923E-411D-B99E-08A3B1A989E9}" uniqueName="123" name="Lesson 5 (DOW)" queryTableFieldId="129" dataDxfId="172">
      <calculatedColumnFormula>WEEKDAY(Sheet_1_Table_1_136[[#This Row],[Lesson 5
Date 
(DD-MMM-YYYY)]])</calculatedColumnFormula>
    </tableColumn>
    <tableColumn id="124" xr3:uid="{B6C421B5-41B3-43B2-87FE-6E7CC0E726A2}" uniqueName="124" name="Lesson 5_x000a_Start Time_x000a_(HH:MM)" queryTableFieldId="128" dataDxfId="171"/>
    <tableColumn id="65" xr3:uid="{9D80C083-6A5F-46E6-9EF8-21F9FF7FAA3D}" uniqueName="65" name="Lesson 5_x000a_End Time_x000a_(HH:MM)" queryTableFieldId="167" dataDxfId="170"/>
    <tableColumn id="125" xr3:uid="{483D46C8-0854-4731-A435-CDB8076CB068}" uniqueName="125" name="Lesson 5_x000a_ Venue" queryTableFieldId="127" dataDxfId="169"/>
    <tableColumn id="118" xr3:uid="{C45E0169-CE55-4654-90EB-F0E9ED5E90AA}" uniqueName="118" name="Lesson 6_x000a_Date _x000a_(DD-MMM-YYYY)" queryTableFieldId="126" dataDxfId="168"/>
    <tableColumn id="119" xr3:uid="{0413A395-83B4-4471-BB93-9B635B4BDF96}" uniqueName="119" name="Lesson 6 (DOW)" queryTableFieldId="125" dataDxfId="167">
      <calculatedColumnFormula>WEEKDAY(Sheet_1_Table_1_136[[#This Row],[Lesson 6
Date 
(DD-MMM-YYYY)]])</calculatedColumnFormula>
    </tableColumn>
    <tableColumn id="120" xr3:uid="{F2C18B3F-ABF3-4DFE-B078-49D363DB38EC}" uniqueName="120" name="Lesson 6_x000a_Start Time_x000a_(HH:MM)" queryTableFieldId="124" dataDxfId="166"/>
    <tableColumn id="43" xr3:uid="{3DDC4399-65AC-4745-AC6B-85AAD7CF5188}" uniqueName="43" name="Lesson 6_x000a_End Time_x000a_(HH:MM)" queryTableFieldId="162" dataDxfId="165"/>
    <tableColumn id="121" xr3:uid="{604CCB4E-605A-4ED4-99CE-4CC4239D3D39}" uniqueName="121" name="Lesson 6_x000a_ Venue" queryTableFieldId="123" dataDxfId="164"/>
    <tableColumn id="21" xr3:uid="{5B504E40-F7E7-4273-AB53-23D139EE5A5A}" uniqueName="21" name="Instructor / Speaker (1)_x000a_Title" queryTableFieldId="132" dataDxfId="163"/>
    <tableColumn id="34" xr3:uid="{A8889876-0B0D-479B-B4E1-0AECA8F677E5}" uniqueName="34" name="Instructor / Speaker (1)_x000a_First Name" queryTableFieldId="34" dataDxfId="162"/>
    <tableColumn id="30" xr3:uid="{367D6381-1C59-488F-A518-BD5AADE9826A}" uniqueName="30" name="Instructor / Speaker (1)_x000a_Last Name _x000a_(in CAPITAL letter)" queryTableFieldId="133" dataDxfId="161"/>
    <tableColumn id="35" xr3:uid="{13CB9E50-C866-424C-88A2-48ECCE8E6816}" uniqueName="35" name="Instructor / Speaker (1)_x000a_Job Title" queryTableFieldId="35" dataDxfId="160"/>
    <tableColumn id="37" xr3:uid="{C7DAF68F-695D-4D0D-8578-2BFDE759AB75}" uniqueName="37" name="Instructor / Speaker (2)_x000a_Title" queryTableFieldId="137" dataDxfId="159"/>
    <tableColumn id="36" xr3:uid="{7E50ED0C-2F1C-475C-93FE-175C2999D2F3}" uniqueName="36" name="Instructor / Speaker (2)_x000a_First Name" queryTableFieldId="136" dataDxfId="158"/>
    <tableColumn id="32" xr3:uid="{1344DD82-E263-4BB5-AC81-F2218BF0354B}" uniqueName="32" name="Instructor / Speaker (2)_x000a_Last Name _x000a_(in CAPITAL letter)" queryTableFieldId="135" dataDxfId="157"/>
    <tableColumn id="31" xr3:uid="{A7D398C0-06C8-4C99-BA02-765A68A0A4E3}" uniqueName="31" name="Instructor / Speaker (2)_x000a_Job Title" queryTableFieldId="134" dataDxfId="156"/>
    <tableColumn id="40" xr3:uid="{75DAC726-2401-42AC-A216-191B28812DF0}" uniqueName="40" name="Fees" queryTableFieldId="179" dataDxfId="155"/>
    <tableColumn id="78" xr3:uid="{A566ECDF-E561-4EFF-8CAF-0AA1FA990020}" uniqueName="78" name="Deposits" queryTableFieldId="79" dataDxfId="154"/>
    <tableColumn id="38" xr3:uid="{C3767A05-6A5C-4C41-97B9-BF4A560F75DE}" uniqueName="38" name="Assembly Time _x000a_(for Off-campus Visit)" queryTableFieldId="38" dataDxfId="153"/>
    <tableColumn id="69" xr3:uid="{72C9B7EE-9C2C-4F24-B8BF-71A5FFB79719}" uniqueName="69" name="Assembly Location_x000a_(for Off-campus Visit)" queryTableFieldId="172" dataDxfId="152"/>
    <tableColumn id="39" xr3:uid="{F1709082-0C71-4E5B-BE0B-8DC3122C89C9}" uniqueName="39" name="Remarks to Students (if applicable)" queryTableFieldId="39" dataDxfId="151"/>
    <tableColumn id="70" xr3:uid="{39B672C1-9811-4709-9757-21CD2EDEEF81}" uniqueName="70" name="Zoom URL_x000a_(if any)" queryTableFieldId="183" dataDxfId="150"/>
    <tableColumn id="42" xr3:uid="{4BFD7089-ADF1-4916-B119-13F5F6CF11F6}" uniqueName="42" name="Meeting ID_x000a_(if any)" queryTableFieldId="181" dataDxfId="149"/>
    <tableColumn id="41" xr3:uid="{40C9F2AA-D31F-44B6-911F-8B24D645E430}" uniqueName="41" name="Meeting Passcode_x000a_(if any)" queryTableFieldId="180" dataDxfId="148"/>
    <tableColumn id="72" xr3:uid="{79EA0CB5-ADA6-4F7B-A58E-E75B15AC9D3E}" uniqueName="72" name="Programme In-charge 1_x000a_Name" queryTableFieldId="184" dataDxfId="147"/>
    <tableColumn id="73" xr3:uid="{87974988-5AB5-48B1-9DCF-B9BB102E0452}" uniqueName="73" name="Programme In-charge 1_x000a_Email" queryTableFieldId="185" dataDxfId="146"/>
    <tableColumn id="45" xr3:uid="{71A95AF1-8FD7-4D13-98EF-3C3FD70A9DD9}" uniqueName="45" name="Programme In-charge 2_x000a_Name" queryTableFieldId="45" dataDxfId="145"/>
    <tableColumn id="46" xr3:uid="{F8A337B7-5B16-4350-8A6F-91549875742C}" uniqueName="46" name="Programme In-charge 2_x000a_Email" queryTableFieldId="46" dataDxfId="144"/>
    <tableColumn id="49" xr3:uid="{4DC94CDF-0F15-415F-A3F7-0D2A10A1A3CF}" uniqueName="49" name="Sustainable Development Goals (Y/N)" queryTableFieldId="49" dataDxfId="143"/>
    <tableColumn id="50" xr3:uid="{32848406-1BC9-44CD-93AB-436321014835}" uniqueName="50" name="SDG1 _x000a_No Poverty" queryTableFieldId="50" dataDxfId="142"/>
    <tableColumn id="51" xr3:uid="{674632E8-D117-4D33-AE47-1B469453AF0C}" uniqueName="51" name="SDG2_x000a_Zero Hunger" queryTableFieldId="51" dataDxfId="141"/>
    <tableColumn id="52" xr3:uid="{0759E7C9-A82B-4C99-A3B3-E4087CDD276D}" uniqueName="52" name="SDG3_x000a_Good Health and well-being" queryTableFieldId="52" dataDxfId="140"/>
    <tableColumn id="53" xr3:uid="{0B78E091-4E18-4CBD-8356-61733E746DD5}" uniqueName="53" name="SDG4_x000a_Quality Education" queryTableFieldId="53" dataDxfId="139"/>
    <tableColumn id="54" xr3:uid="{71F03C59-E3E1-4988-8E58-FB91CA8C32A8}" uniqueName="54" name="SDG5_x000a_ Gender Equality" queryTableFieldId="54" dataDxfId="138"/>
    <tableColumn id="101" xr3:uid="{ED74EB20-2E1C-4C29-971E-BD499CC50EB9}" uniqueName="101" name="SDG6_x000a_ Clean Water &amp; Sanitation" queryTableFieldId="102" dataDxfId="137"/>
    <tableColumn id="100" xr3:uid="{C8029D16-6101-4BB6-BDE8-AC2B748FFBA7}" uniqueName="100" name="SDG7 Affordable &amp; Clean Energy" queryTableFieldId="101" dataDxfId="136"/>
    <tableColumn id="99" xr3:uid="{B7EE5459-CC11-4FF9-B074-E06C92B6E755}" uniqueName="99" name="SDG8 _x000a_Decent Work &amp; Economic Growth" queryTableFieldId="100" dataDxfId="135"/>
    <tableColumn id="98" xr3:uid="{931161A9-638D-4321-9FB3-A644EDEF592D}" uniqueName="98" name="SDG9_x000a_Industry, Innovation &amp; Infrastructure" queryTableFieldId="99" dataDxfId="134"/>
    <tableColumn id="97" xr3:uid="{4CEACA0A-3371-46AF-A78C-11A4BB20B910}" uniqueName="97" name="SDG10_x000a_ Reduced inequalities" queryTableFieldId="98" dataDxfId="133"/>
    <tableColumn id="96" xr3:uid="{FA13F1AE-98C7-4FC5-AFDA-2A08F33E1CF2}" uniqueName="96" name="SDG11 Sustainable Cities &amp; Communities" queryTableFieldId="97" dataDxfId="132"/>
    <tableColumn id="95" xr3:uid="{FEA2172F-6386-462D-8BCD-15C8118C37F6}" uniqueName="95" name="SDG12 Responsible Consumption &amp; Production" queryTableFieldId="96" dataDxfId="131"/>
    <tableColumn id="94" xr3:uid="{C3523241-384D-4920-9653-C359D8BE744C}" uniqueName="94" name="SDG13_x000a_ Climate Action" queryTableFieldId="95" dataDxfId="130"/>
    <tableColumn id="93" xr3:uid="{6D2E0BCD-A80B-45C5-82AF-DEFA4D5CD1F8}" uniqueName="93" name="SDG14_x000a_Life Below Water" queryTableFieldId="94" dataDxfId="129"/>
    <tableColumn id="92" xr3:uid="{8EB03BB3-9360-45A9-9DD1-C866AF468117}" uniqueName="92" name="SDG15 _x000a_Life on Land" queryTableFieldId="93" dataDxfId="128"/>
    <tableColumn id="91" xr3:uid="{E8ED1266-CDE0-4842-A638-8B82D6560E28}" uniqueName="91" name="SDG16 Peace, Justice &amp; Strong Institutions" queryTableFieldId="92" dataDxfId="127"/>
    <tableColumn id="90" xr3:uid="{EEF44288-EAF4-4083-A691-32F347780156}" uniqueName="90" name="SDG17 Partnerships for the Goals" queryTableFieldId="91" dataDxfId="126"/>
    <tableColumn id="63" xr3:uid="{D21EC705-59BA-428A-BDD9-DF4D0BC8CB43}" uniqueName="63" name="Country/Place" queryTableFieldId="64" dataDxfId="125"/>
    <tableColumn id="83" xr3:uid="{3176848F-764B-4664-B693-3489D50F8447}" uniqueName="83" name="Credit Type" queryTableFieldId="84" dataDxfId="124"/>
    <tableColumn id="84" xr3:uid="{D624E190-D3EF-4964-A28C-F9C18EAFE048}" uniqueName="84" name="Data Type" queryTableFieldId="85" dataDxfId="123"/>
    <tableColumn id="61" xr3:uid="{839F2A37-CA98-47EB-9C75-0F2C1B3DA404}" uniqueName="61" name="UAA" queryTableFieldId="62" dataDxfId="122"/>
    <tableColumn id="86" xr3:uid="{15DBF9D7-6964-412E-8DA2-3F76A746C32E}" uniqueName="86" name="Programme Category" queryTableFieldId="87" dataDxfId="121"/>
    <tableColumn id="87" xr3:uid="{40086B04-985B-4840-A8D4-E7C94C492AE7}" uniqueName="87" name="Whole Person Development Cocurriculum" queryTableFieldId="88" dataDxfId="120"/>
    <tableColumn id="88" xr3:uid="{F824D086-B1F9-4AC5-B14B-38603044AA1D}" uniqueName="88" name="Moral Education" queryTableFieldId="89" dataDxfId="119"/>
    <tableColumn id="89" xr3:uid="{FA764EAF-7FCD-44F5-A4AB-FA899DC0800E}" uniqueName="89" name="Social Responsible Citizenship" queryTableFieldId="90" dataDxfId="118"/>
    <tableColumn id="47" xr3:uid="{6925287D-F761-4AFD-A7C7-983127B5C780}" uniqueName="47" name="Lingnan Language Enhancement Initiative (L2EI)_x000a_(Y/N)" queryTableFieldId="186" dataDxfId="117"/>
    <tableColumn id="25" xr3:uid="{CE16AA73-8B9E-4B55-AA91-702C6CAC6F75}" uniqueName="25" name="Leadership Enhancement Programme (LEP)_x000a_(Y/N)" queryTableFieldId="25" dataDxfId="116"/>
    <tableColumn id="66" xr3:uid="{6B614DE7-8369-44A7-9B03-7F8C7F7C27A6}" uniqueName="66" name="TALENT - The Lingnan iPortfolio" queryTableFieldId="169" dataDxfId="115"/>
    <tableColumn id="67" xr3:uid="{EA29DDC9-1CF5-41DD-B8AA-EAA70FEB35B3}" uniqueName="67" name="Has Registration" queryTableFieldId="170" dataDxfId="114"/>
    <tableColumn id="68" xr3:uid="{C1507F28-92FE-4CD9-A9C8-B67A4139829F}" uniqueName="68" name="OSA Portal Registration" queryTableFieldId="171" dataDxfId="1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abSelected="1" topLeftCell="M17" zoomScale="85" zoomScaleNormal="85" workbookViewId="0">
      <selection activeCell="N19" sqref="N19"/>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04"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37" t="s">
        <v>101</v>
      </c>
      <c r="CJ2" s="338" t="s">
        <v>102</v>
      </c>
      <c r="CK2" s="338" t="s">
        <v>103</v>
      </c>
      <c r="CL2" s="338" t="s">
        <v>104</v>
      </c>
      <c r="CM2" s="338" t="s">
        <v>105</v>
      </c>
      <c r="CN2" s="338" t="s">
        <v>106</v>
      </c>
      <c r="CO2" s="338" t="s">
        <v>107</v>
      </c>
      <c r="CP2" s="338" t="s">
        <v>108</v>
      </c>
      <c r="CQ2" s="338" t="s">
        <v>109</v>
      </c>
      <c r="CR2" s="338" t="s">
        <v>110</v>
      </c>
      <c r="CS2" s="338" t="s">
        <v>111</v>
      </c>
      <c r="CT2" s="338" t="s">
        <v>112</v>
      </c>
      <c r="CU2" s="338" t="s">
        <v>113</v>
      </c>
      <c r="CV2" s="338" t="s">
        <v>114</v>
      </c>
      <c r="CW2" s="338" t="s">
        <v>115</v>
      </c>
      <c r="CX2" s="338" t="s">
        <v>116</v>
      </c>
      <c r="CY2" s="338" t="s">
        <v>117</v>
      </c>
      <c r="CZ2" s="338" t="s">
        <v>118</v>
      </c>
      <c r="DA2" s="18" t="s">
        <v>119</v>
      </c>
      <c r="DB2" s="18" t="s">
        <v>120</v>
      </c>
      <c r="DC2" s="18" t="s">
        <v>121</v>
      </c>
      <c r="DD2" s="18" t="s">
        <v>122</v>
      </c>
      <c r="DE2" s="18" t="s">
        <v>123</v>
      </c>
      <c r="DF2" s="18" t="s">
        <v>124</v>
      </c>
      <c r="DG2" s="18" t="s">
        <v>125</v>
      </c>
      <c r="DH2" s="339" t="s">
        <v>126</v>
      </c>
      <c r="DI2" s="18" t="s">
        <v>127</v>
      </c>
      <c r="DJ2" s="18" t="s">
        <v>128</v>
      </c>
      <c r="DK2" s="18" t="s">
        <v>129</v>
      </c>
      <c r="DL2" s="18" t="s">
        <v>130</v>
      </c>
      <c r="DM2" s="340" t="s">
        <v>131</v>
      </c>
    </row>
    <row r="3" spans="1:156" ht="135.75" customHeight="1">
      <c r="A3" s="48">
        <v>1</v>
      </c>
      <c r="B3" s="49">
        <v>202609</v>
      </c>
      <c r="C3" s="50" t="s">
        <v>132</v>
      </c>
      <c r="D3" s="50" t="s">
        <v>133</v>
      </c>
      <c r="E3" s="51">
        <v>5642</v>
      </c>
      <c r="F3" s="52" t="s">
        <v>134</v>
      </c>
      <c r="G3" s="53" t="s">
        <v>135</v>
      </c>
      <c r="H3" s="638" t="s">
        <v>136</v>
      </c>
      <c r="I3" s="341" t="s">
        <v>137</v>
      </c>
      <c r="J3" s="639" t="s">
        <v>138</v>
      </c>
      <c r="K3" s="638" t="s">
        <v>139</v>
      </c>
      <c r="L3" s="341"/>
      <c r="M3" s="640" t="s">
        <v>140</v>
      </c>
      <c r="N3" s="641" t="s">
        <v>141</v>
      </c>
      <c r="O3" s="642" t="s">
        <v>142</v>
      </c>
      <c r="P3" s="642" t="s">
        <v>142</v>
      </c>
      <c r="Q3" s="639" t="s">
        <v>143</v>
      </c>
      <c r="R3" s="61" t="str">
        <f>VLOOKUP(Sheet_1_Table_1_137[[#This Row],[Learning Domain]],[3]List!$A$7:$B$12,2,0)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4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WEEKDAY([4]!Sheet_1_Table_1_13[[#This Row],[Lesson 3
Date 
(DD-MMM-YYYY)]])</f>
        <v>#REF!</v>
      </c>
      <c r="AW3" s="65"/>
      <c r="AX3" s="66"/>
      <c r="AY3" s="67"/>
      <c r="AZ3" s="68"/>
      <c r="BA3" s="64" t="e">
        <f>WEEKDAY([4]!Sheet_1_Table_1_13[[#This Row],[Lesson 4
Date 
(DD-MMM-YYYY)]])</f>
        <v>#REF!</v>
      </c>
      <c r="BB3" s="65"/>
      <c r="BC3" s="66"/>
      <c r="BD3" s="66"/>
      <c r="BE3" s="63"/>
      <c r="BF3" s="64" t="e">
        <f>WEEKDAY([4]!Sheet_1_Table_1_13[[#This Row],[Lesson 5
Date 
(DD-MMM-YYYY)]])</f>
        <v>#REF!</v>
      </c>
      <c r="BG3" s="65"/>
      <c r="BH3" s="66"/>
      <c r="BI3" s="67"/>
      <c r="BJ3" s="68"/>
      <c r="BK3" s="64" t="e">
        <f>WEEKDAY([4]!Sheet_1_Table_1_13[[#This Row],[Lesson 6
Date 
(DD-MMM-YYYY)]])</f>
        <v>#REF!</v>
      </c>
      <c r="BL3" s="65"/>
      <c r="BM3" s="66"/>
      <c r="BN3" s="66"/>
      <c r="BO3" s="560"/>
      <c r="BP3" s="643"/>
      <c r="BQ3" s="644"/>
      <c r="BR3" s="645" t="s">
        <v>148</v>
      </c>
      <c r="BS3" s="52"/>
      <c r="BT3" s="56"/>
      <c r="BU3" s="56"/>
      <c r="BV3" s="70"/>
      <c r="BW3" s="60"/>
      <c r="BX3" s="71"/>
      <c r="BY3" s="56" t="s">
        <v>149</v>
      </c>
      <c r="BZ3" s="56"/>
      <c r="CA3" s="56" t="s">
        <v>149</v>
      </c>
      <c r="CB3" s="72"/>
      <c r="CC3" s="72"/>
      <c r="CD3" s="71"/>
      <c r="CE3" s="60" t="s">
        <v>150</v>
      </c>
      <c r="CF3" s="164" t="s">
        <v>151</v>
      </c>
      <c r="CG3" s="56" t="s">
        <v>152</v>
      </c>
      <c r="CH3" s="30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205" t="s">
        <v>133</v>
      </c>
      <c r="E4" s="206">
        <v>5643</v>
      </c>
      <c r="F4" s="52" t="s">
        <v>134</v>
      </c>
      <c r="G4" s="53" t="s">
        <v>135</v>
      </c>
      <c r="H4" s="638" t="s">
        <v>136</v>
      </c>
      <c r="I4" s="341" t="s">
        <v>137</v>
      </c>
      <c r="J4" s="639" t="s">
        <v>159</v>
      </c>
      <c r="K4" s="638" t="s">
        <v>160</v>
      </c>
      <c r="L4" s="341"/>
      <c r="M4" s="640" t="s">
        <v>161</v>
      </c>
      <c r="N4" s="641" t="s">
        <v>162</v>
      </c>
      <c r="O4" s="642" t="s">
        <v>142</v>
      </c>
      <c r="P4" s="642" t="s">
        <v>142</v>
      </c>
      <c r="Q4" s="639" t="s">
        <v>143</v>
      </c>
      <c r="R4" s="77" t="str">
        <f>VLOOKUP(Sheet_1_Table_1_137[[#This Row],[Learning Domain]],[3]List!$A$7:$B$12,2,0)</f>
        <v>CELD</v>
      </c>
      <c r="S4" s="55">
        <v>70</v>
      </c>
      <c r="T4" s="55"/>
      <c r="U4" s="55"/>
      <c r="V4" s="55"/>
      <c r="W4" s="55"/>
      <c r="X4" s="55">
        <v>20</v>
      </c>
      <c r="Y4" s="55">
        <v>10</v>
      </c>
      <c r="Z4" s="55"/>
      <c r="AA4" s="55"/>
      <c r="AB4" s="53">
        <f>SUM(Sheet_1_Table_1_137[[#This Row],[Leadership LS]:[Career Development  CR]])</f>
        <v>100</v>
      </c>
      <c r="AC4" s="52" t="s">
        <v>144</v>
      </c>
      <c r="AD4" s="209" t="s">
        <v>145</v>
      </c>
      <c r="AE4" s="209" t="s">
        <v>146</v>
      </c>
      <c r="AF4" s="209" t="s">
        <v>142</v>
      </c>
      <c r="AG4" s="209" t="s">
        <v>142</v>
      </c>
      <c r="AH4" s="209">
        <v>1</v>
      </c>
      <c r="AI4" s="55">
        <v>70</v>
      </c>
      <c r="AJ4" s="210">
        <f>Sheet_1_Table_1_137[[#This Row],[ILP Units Per Session]]*Sheet_1_Table_1_137[[#This Row],[Quota]]</f>
        <v>70</v>
      </c>
      <c r="AK4" s="319">
        <v>46272</v>
      </c>
      <c r="AL4" s="344">
        <f>WEEKDAY(Sheet_1_Table_1_137[[#This Row],[Lesson 1 
Date 
(DD-MMM-YYYY)]])</f>
        <v>2</v>
      </c>
      <c r="AM4" s="65">
        <v>0.66666666666666663</v>
      </c>
      <c r="AN4" s="66">
        <v>0.70833333333333337</v>
      </c>
      <c r="AO4" s="215" t="s">
        <v>147</v>
      </c>
      <c r="AP4" s="68"/>
      <c r="AQ4" s="64">
        <f>WEEKDAY(Sheet_1_Table_1_137[[#This Row],[Lesson 1 
Date 
(DD-MMM-YYYY)]])</f>
        <v>2</v>
      </c>
      <c r="AR4" s="65"/>
      <c r="AS4" s="66"/>
      <c r="AT4" s="66"/>
      <c r="AU4" s="211"/>
      <c r="AV4" s="165" t="e">
        <f>WEEKDAY([4]!Sheet_1_Table_1_13[[#This Row],[Lesson 3
Date 
(DD-MMM-YYYY)]])</f>
        <v>#REF!</v>
      </c>
      <c r="AW4" s="212"/>
      <c r="AX4" s="213"/>
      <c r="AY4" s="215"/>
      <c r="AZ4" s="68"/>
      <c r="BA4" s="64" t="e">
        <f>WEEKDAY([4]!Sheet_1_Table_1_13[[#This Row],[Lesson 4
Date 
(DD-MMM-YYYY)]])</f>
        <v>#REF!</v>
      </c>
      <c r="BB4" s="65"/>
      <c r="BC4" s="66"/>
      <c r="BD4" s="66"/>
      <c r="BE4" s="211"/>
      <c r="BF4" s="165" t="e">
        <f>WEEKDAY([4]!Sheet_1_Table_1_13[[#This Row],[Lesson 5
Date 
(DD-MMM-YYYY)]])</f>
        <v>#REF!</v>
      </c>
      <c r="BG4" s="212"/>
      <c r="BH4" s="213"/>
      <c r="BI4" s="215"/>
      <c r="BJ4" s="68"/>
      <c r="BK4" s="165" t="e">
        <f>WEEKDAY([4]!Sheet_1_Table_1_13[[#This Row],[Lesson 6
Date 
(DD-MMM-YYYY)]])</f>
        <v>#REF!</v>
      </c>
      <c r="BL4" s="212"/>
      <c r="BM4" s="213"/>
      <c r="BN4" s="213"/>
      <c r="BO4" s="560" t="s">
        <v>163</v>
      </c>
      <c r="BP4" s="643" t="s">
        <v>164</v>
      </c>
      <c r="BQ4" s="644" t="s">
        <v>165</v>
      </c>
      <c r="BR4" s="645" t="s">
        <v>166</v>
      </c>
      <c r="BS4" s="52"/>
      <c r="BT4" s="217"/>
      <c r="BU4" s="209"/>
      <c r="BV4" s="70"/>
      <c r="BW4" s="60"/>
      <c r="BX4" s="71"/>
      <c r="BY4" s="218" t="s">
        <v>149</v>
      </c>
      <c r="BZ4" s="218"/>
      <c r="CA4" s="218" t="s">
        <v>149</v>
      </c>
      <c r="CB4" s="220"/>
      <c r="CC4" s="220"/>
      <c r="CD4" s="221"/>
      <c r="CE4" s="60" t="s">
        <v>150</v>
      </c>
      <c r="CF4" s="164" t="s">
        <v>151</v>
      </c>
      <c r="CG4" s="56" t="s">
        <v>152</v>
      </c>
      <c r="CH4" s="30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206">
        <v>5644</v>
      </c>
      <c r="F5" s="52" t="s">
        <v>134</v>
      </c>
      <c r="G5" s="53" t="s">
        <v>135</v>
      </c>
      <c r="H5" s="638" t="s">
        <v>136</v>
      </c>
      <c r="I5" s="341" t="s">
        <v>137</v>
      </c>
      <c r="J5" s="639" t="s">
        <v>168</v>
      </c>
      <c r="K5" s="638" t="s">
        <v>169</v>
      </c>
      <c r="L5" s="341"/>
      <c r="M5" s="640" t="s">
        <v>170</v>
      </c>
      <c r="N5" s="640" t="s">
        <v>171</v>
      </c>
      <c r="O5" s="642" t="s">
        <v>142</v>
      </c>
      <c r="P5" s="642" t="s">
        <v>142</v>
      </c>
      <c r="Q5" s="646" t="s">
        <v>143</v>
      </c>
      <c r="R5" s="77" t="str">
        <f>VLOOKUP(Sheet_1_Table_1_137[[#This Row],[Learning Domain]],[3]List!$A$7:$B$12,2,0)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9" t="s">
        <v>145</v>
      </c>
      <c r="AE5" s="209" t="s">
        <v>142</v>
      </c>
      <c r="AF5" s="209" t="s">
        <v>146</v>
      </c>
      <c r="AG5" s="209" t="s">
        <v>142</v>
      </c>
      <c r="AH5" s="209">
        <v>1</v>
      </c>
      <c r="AI5" s="55">
        <v>70</v>
      </c>
      <c r="AJ5" s="210">
        <f>Sheet_1_Table_1_137[[#This Row],[ILP Units Per Session]]*Sheet_1_Table_1_137[[#This Row],[Quota]]</f>
        <v>70</v>
      </c>
      <c r="AK5" s="211">
        <v>46281</v>
      </c>
      <c r="AL5" s="342">
        <f>WEEKDAY(Sheet_1_Table_1_137[[#This Row],[Lesson 1 
Date 
(DD-MMM-YYYY)]])</f>
        <v>4</v>
      </c>
      <c r="AM5" s="65">
        <v>0.66666666666666663</v>
      </c>
      <c r="AN5" s="66">
        <v>0.70833333333333337</v>
      </c>
      <c r="AO5" s="215" t="s">
        <v>147</v>
      </c>
      <c r="AP5" s="68"/>
      <c r="AQ5" s="64">
        <f>WEEKDAY(Sheet_1_Table_1_137[[#This Row],[Lesson 1 
Date 
(DD-MMM-YYYY)]])</f>
        <v>4</v>
      </c>
      <c r="AR5" s="65"/>
      <c r="AS5" s="66"/>
      <c r="AT5" s="66"/>
      <c r="AU5" s="211"/>
      <c r="AV5" s="165" t="e">
        <f>WEEKDAY([4]!Sheet_1_Table_1_13[[#This Row],[Lesson 3
Date 
(DD-MMM-YYYY)]])</f>
        <v>#REF!</v>
      </c>
      <c r="AW5" s="212"/>
      <c r="AX5" s="213"/>
      <c r="AY5" s="215"/>
      <c r="AZ5" s="68"/>
      <c r="BA5" s="64" t="e">
        <f>WEEKDAY([4]!Sheet_1_Table_1_13[[#This Row],[Lesson 4
Date 
(DD-MMM-YYYY)]])</f>
        <v>#REF!</v>
      </c>
      <c r="BB5" s="65"/>
      <c r="BC5" s="66"/>
      <c r="BD5" s="66"/>
      <c r="BE5" s="211"/>
      <c r="BF5" s="165" t="e">
        <f>WEEKDAY([4]!Sheet_1_Table_1_13[[#This Row],[Lesson 5
Date 
(DD-MMM-YYYY)]])</f>
        <v>#REF!</v>
      </c>
      <c r="BG5" s="212"/>
      <c r="BH5" s="213"/>
      <c r="BI5" s="215"/>
      <c r="BJ5" s="68"/>
      <c r="BK5" s="165" t="e">
        <f>WEEKDAY([4]!Sheet_1_Table_1_13[[#This Row],[Lesson 6
Date 
(DD-MMM-YYYY)]])</f>
        <v>#REF!</v>
      </c>
      <c r="BL5" s="212"/>
      <c r="BM5" s="213"/>
      <c r="BN5" s="213"/>
      <c r="BO5" s="647"/>
      <c r="BP5" s="648"/>
      <c r="BQ5" s="649"/>
      <c r="BR5" s="650" t="s">
        <v>172</v>
      </c>
      <c r="BS5" s="52"/>
      <c r="BT5" s="217"/>
      <c r="BU5" s="209"/>
      <c r="BV5" s="70"/>
      <c r="BW5" s="60"/>
      <c r="BX5" s="71"/>
      <c r="BY5" s="218" t="s">
        <v>149</v>
      </c>
      <c r="BZ5" s="218"/>
      <c r="CA5" s="218" t="s">
        <v>149</v>
      </c>
      <c r="CB5" s="220"/>
      <c r="CC5" s="220"/>
      <c r="CD5" s="221"/>
      <c r="CE5" s="60" t="s">
        <v>150</v>
      </c>
      <c r="CF5" s="164" t="s">
        <v>151</v>
      </c>
      <c r="CG5" s="56" t="s">
        <v>152</v>
      </c>
      <c r="CH5" s="30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45" t="s">
        <v>175</v>
      </c>
      <c r="I6" s="346" t="s">
        <v>176</v>
      </c>
      <c r="J6" s="639" t="s">
        <v>177</v>
      </c>
      <c r="K6" s="638" t="s">
        <v>178</v>
      </c>
      <c r="L6" s="341"/>
      <c r="M6" s="640" t="s">
        <v>179</v>
      </c>
      <c r="N6" s="640" t="s">
        <v>180</v>
      </c>
      <c r="O6" s="651" t="s">
        <v>146</v>
      </c>
      <c r="P6" s="652" t="s">
        <v>146</v>
      </c>
      <c r="Q6" s="646" t="s">
        <v>143</v>
      </c>
      <c r="R6" s="61" t="str">
        <f>VLOOKUP(Sheet_1_Table_1_137[[#This Row],[Learning Domain]],[3]List!$A$7:$B$12,2,0)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4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WEEKDAY([4]!Sheet_1_Table_1_13[[#This Row],[Lesson 3
Date 
(DD-MMM-YYYY)]])</f>
        <v>#REF!</v>
      </c>
      <c r="AW6" s="65"/>
      <c r="AX6" s="66"/>
      <c r="AY6" s="67"/>
      <c r="AZ6" s="68"/>
      <c r="BA6" s="64" t="e">
        <f>WEEKDAY([4]!Sheet_1_Table_1_13[[#This Row],[Lesson 4
Date 
(DD-MMM-YYYY)]])</f>
        <v>#REF!</v>
      </c>
      <c r="BB6" s="65"/>
      <c r="BC6" s="66"/>
      <c r="BD6" s="66"/>
      <c r="BE6" s="63"/>
      <c r="BF6" s="64" t="e">
        <f>WEEKDAY([4]!Sheet_1_Table_1_13[[#This Row],[Lesson 5
Date 
(DD-MMM-YYYY)]])</f>
        <v>#REF!</v>
      </c>
      <c r="BG6" s="65"/>
      <c r="BH6" s="66"/>
      <c r="BI6" s="67"/>
      <c r="BJ6" s="68"/>
      <c r="BK6" s="64" t="e">
        <f>WEEKDAY([4]!Sheet_1_Table_1_13[[#This Row],[Lesson 6
Date 
(DD-MMM-YYYY)]])</f>
        <v>#REF!</v>
      </c>
      <c r="BL6" s="65"/>
      <c r="BM6" s="66"/>
      <c r="BN6" s="66"/>
      <c r="BO6" s="54"/>
      <c r="BP6" s="69"/>
      <c r="BQ6" s="69"/>
      <c r="BR6" s="650" t="s">
        <v>183</v>
      </c>
      <c r="BS6" s="52"/>
      <c r="BT6" s="56"/>
      <c r="BU6" s="56"/>
      <c r="BV6" s="70"/>
      <c r="BW6" s="60"/>
      <c r="BX6" s="71"/>
      <c r="BY6" s="56" t="s">
        <v>184</v>
      </c>
      <c r="BZ6" s="56"/>
      <c r="CA6" s="56" t="s">
        <v>184</v>
      </c>
      <c r="CB6" s="72"/>
      <c r="CC6" s="72"/>
      <c r="CD6" s="71"/>
      <c r="CE6" s="60" t="s">
        <v>150</v>
      </c>
      <c r="CF6" s="164" t="s">
        <v>151</v>
      </c>
      <c r="CG6" s="56" t="s">
        <v>152</v>
      </c>
      <c r="CH6" s="30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47" t="s">
        <v>175</v>
      </c>
      <c r="I7" s="341" t="s">
        <v>176</v>
      </c>
      <c r="J7" s="639" t="s">
        <v>186</v>
      </c>
      <c r="K7" s="638" t="s">
        <v>187</v>
      </c>
      <c r="L7" s="341"/>
      <c r="M7" s="640" t="s">
        <v>188</v>
      </c>
      <c r="N7" s="640" t="s">
        <v>189</v>
      </c>
      <c r="O7" s="348" t="s">
        <v>146</v>
      </c>
      <c r="P7" s="349" t="s">
        <v>146</v>
      </c>
      <c r="Q7" s="350" t="s">
        <v>143</v>
      </c>
      <c r="R7" s="77" t="str">
        <f>VLOOKUP(Sheet_1_Table_1_137[[#This Row],[Learning Domain]],[3]List!$A$7:$B$12,2,0)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4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WEEKDAY([4]!Sheet_1_Table_1_13[[#This Row],[Lesson 3
Date 
(DD-MMM-YYYY)]])</f>
        <v>#REF!</v>
      </c>
      <c r="AW7" s="65"/>
      <c r="AX7" s="66"/>
      <c r="AY7" s="67"/>
      <c r="AZ7" s="68"/>
      <c r="BA7" s="64" t="e">
        <f>WEEKDAY([4]!Sheet_1_Table_1_13[[#This Row],[Lesson 4
Date 
(DD-MMM-YYYY)]])</f>
        <v>#REF!</v>
      </c>
      <c r="BB7" s="65"/>
      <c r="BC7" s="66"/>
      <c r="BD7" s="66"/>
      <c r="BE7" s="63"/>
      <c r="BF7" s="64" t="e">
        <f>WEEKDAY([4]!Sheet_1_Table_1_13[[#This Row],[Lesson 5
Date 
(DD-MMM-YYYY)]])</f>
        <v>#REF!</v>
      </c>
      <c r="BG7" s="65"/>
      <c r="BH7" s="66"/>
      <c r="BI7" s="67"/>
      <c r="BJ7" s="68"/>
      <c r="BK7" s="64" t="e">
        <f>WEEKDAY([4]!Sheet_1_Table_1_13[[#This Row],[Lesson 6
Date 
(DD-MMM-YYYY)]])</f>
        <v>#REF!</v>
      </c>
      <c r="BL7" s="65"/>
      <c r="BM7" s="66"/>
      <c r="BN7" s="66"/>
      <c r="BO7" s="54"/>
      <c r="BP7" s="69"/>
      <c r="BQ7" s="69"/>
      <c r="BR7" s="645" t="s">
        <v>192</v>
      </c>
      <c r="BS7" s="52"/>
      <c r="BT7" s="56"/>
      <c r="BU7" s="56"/>
      <c r="BV7" s="70"/>
      <c r="BW7" s="60"/>
      <c r="BX7" s="71"/>
      <c r="BY7" s="56" t="s">
        <v>184</v>
      </c>
      <c r="BZ7" s="56"/>
      <c r="CA7" s="56" t="s">
        <v>184</v>
      </c>
      <c r="CB7" s="72"/>
      <c r="CC7" s="72"/>
      <c r="CD7" s="71"/>
      <c r="CE7" s="60" t="s">
        <v>150</v>
      </c>
      <c r="CF7" s="164" t="s">
        <v>151</v>
      </c>
      <c r="CG7" s="56" t="s">
        <v>152</v>
      </c>
      <c r="CH7" s="30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43" t="s">
        <v>175</v>
      </c>
      <c r="I8" s="341" t="s">
        <v>176</v>
      </c>
      <c r="J8" s="639" t="s">
        <v>195</v>
      </c>
      <c r="K8" s="638" t="s">
        <v>196</v>
      </c>
      <c r="L8" s="341"/>
      <c r="M8" s="640" t="s">
        <v>197</v>
      </c>
      <c r="N8" s="640" t="s">
        <v>198</v>
      </c>
      <c r="O8" s="351" t="s">
        <v>146</v>
      </c>
      <c r="P8" s="352" t="s">
        <v>146</v>
      </c>
      <c r="Q8" s="646" t="s">
        <v>143</v>
      </c>
      <c r="R8" s="77" t="str">
        <f>VLOOKUP(Sheet_1_Table_1_137[[#This Row],[Learning Domain]],[3]List!$A$7:$B$12,2,0)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4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WEEKDAY([4]!Sheet_1_Table_1_13[[#This Row],[Lesson 4
Date 
(DD-MMM-YYYY)]])</f>
        <v>#REF!</v>
      </c>
      <c r="BB8" s="65"/>
      <c r="BC8" s="66"/>
      <c r="BD8" s="66"/>
      <c r="BE8" s="63"/>
      <c r="BF8" s="165" t="e">
        <f>WEEKDAY([4]!Sheet_1_Table_1_13[[#This Row],[Lesson 5
Date 
(DD-MMM-YYYY)]])</f>
        <v>#REF!</v>
      </c>
      <c r="BG8" s="65"/>
      <c r="BH8" s="66"/>
      <c r="BI8" s="67"/>
      <c r="BJ8" s="68"/>
      <c r="BK8" s="165" t="e">
        <f>WEEKDAY([4]!Sheet_1_Table_1_13[[#This Row],[Lesson 6
Date 
(DD-MMM-YYYY)]])</f>
        <v>#REF!</v>
      </c>
      <c r="BL8" s="65"/>
      <c r="BM8" s="66"/>
      <c r="BN8" s="66"/>
      <c r="BO8" s="54"/>
      <c r="BP8" s="69"/>
      <c r="BQ8" s="69"/>
      <c r="BR8" s="645" t="s">
        <v>201</v>
      </c>
      <c r="BS8" s="52"/>
      <c r="BT8" s="56"/>
      <c r="BU8" s="56"/>
      <c r="BV8" s="70"/>
      <c r="BW8" s="60"/>
      <c r="BX8" s="71"/>
      <c r="BY8" s="353" t="s">
        <v>202</v>
      </c>
      <c r="BZ8" s="353" t="s">
        <v>202</v>
      </c>
      <c r="CA8" s="56" t="s">
        <v>2229</v>
      </c>
      <c r="CB8" s="72"/>
      <c r="CC8" s="72"/>
      <c r="CD8" s="71"/>
      <c r="CE8" s="60" t="s">
        <v>150</v>
      </c>
      <c r="CF8" s="164" t="s">
        <v>151</v>
      </c>
      <c r="CG8" s="56" t="s">
        <v>152</v>
      </c>
      <c r="CH8" s="30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203</v>
      </c>
      <c r="D9" s="50" t="s">
        <v>204</v>
      </c>
      <c r="E9" s="51">
        <v>5648</v>
      </c>
      <c r="F9" s="52" t="s">
        <v>134</v>
      </c>
      <c r="G9" s="53" t="s">
        <v>135</v>
      </c>
      <c r="H9" s="354" t="s">
        <v>175</v>
      </c>
      <c r="I9" s="341" t="s">
        <v>176</v>
      </c>
      <c r="J9" s="639" t="s">
        <v>205</v>
      </c>
      <c r="K9" s="638" t="s">
        <v>206</v>
      </c>
      <c r="L9" s="341"/>
      <c r="M9" s="640" t="s">
        <v>207</v>
      </c>
      <c r="N9" s="645" t="s">
        <v>208</v>
      </c>
      <c r="O9" s="351" t="s">
        <v>146</v>
      </c>
      <c r="P9" s="352" t="s">
        <v>146</v>
      </c>
      <c r="Q9" s="653" t="s">
        <v>143</v>
      </c>
      <c r="R9" s="61" t="str">
        <f>VLOOKUP(Sheet_1_Table_1_137[[#This Row],[Learning Domain]],[3]List!$A$7:$B$12,2,0)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42">
        <f>WEEKDAY(Sheet_1_Table_1_137[[#This Row],[Lesson 1 
Date 
(DD-MMM-YYYY)]])</f>
        <v>2</v>
      </c>
      <c r="AM9" s="355">
        <v>0.70833333333333337</v>
      </c>
      <c r="AN9" s="356">
        <v>0.79166666666666663</v>
      </c>
      <c r="AO9" s="357" t="s">
        <v>209</v>
      </c>
      <c r="AP9" s="68"/>
      <c r="AQ9" s="64">
        <f>WEEKDAY(Sheet_1_Table_1_137[[#This Row],[Lesson 1 
Date 
(DD-MMM-YYYY)]])</f>
        <v>2</v>
      </c>
      <c r="AR9" s="65"/>
      <c r="AS9" s="66"/>
      <c r="AT9" s="66"/>
      <c r="AU9" s="63"/>
      <c r="AV9" s="165" t="e">
        <f>WEEKDAY([4]!Sheet_1_Table_1_13[[#This Row],[Lesson 3
Date 
(DD-MMM-YYYY)]])</f>
        <v>#REF!</v>
      </c>
      <c r="AW9" s="65"/>
      <c r="AX9" s="66"/>
      <c r="AY9" s="67"/>
      <c r="AZ9" s="68"/>
      <c r="BA9" s="64" t="e">
        <f>WEEKDAY([4]!Sheet_1_Table_1_13[[#This Row],[Lesson 4
Date 
(DD-MMM-YYYY)]])</f>
        <v>#REF!</v>
      </c>
      <c r="BB9" s="65"/>
      <c r="BC9" s="66"/>
      <c r="BD9" s="66"/>
      <c r="BE9" s="63"/>
      <c r="BF9" s="165" t="e">
        <f>WEEKDAY([4]!Sheet_1_Table_1_13[[#This Row],[Lesson 5
Date 
(DD-MMM-YYYY)]])</f>
        <v>#REF!</v>
      </c>
      <c r="BG9" s="65"/>
      <c r="BH9" s="66"/>
      <c r="BI9" s="67"/>
      <c r="BJ9" s="68"/>
      <c r="BK9" s="165" t="e">
        <f>WEEKDAY([4]!Sheet_1_Table_1_13[[#This Row],[Lesson 6
Date 
(DD-MMM-YYYY)]])</f>
        <v>#REF!</v>
      </c>
      <c r="BL9" s="65"/>
      <c r="BM9" s="66"/>
      <c r="BN9" s="66"/>
      <c r="BO9" s="54"/>
      <c r="BP9" s="69"/>
      <c r="BQ9" s="55"/>
      <c r="BR9" s="645" t="s">
        <v>210</v>
      </c>
      <c r="BS9" s="52"/>
      <c r="BT9" s="56"/>
      <c r="BU9" s="56"/>
      <c r="BV9" s="70"/>
      <c r="BW9" s="60"/>
      <c r="BX9" s="71"/>
      <c r="BY9" s="56" t="s">
        <v>149</v>
      </c>
      <c r="BZ9" s="56"/>
      <c r="CA9" s="56" t="s">
        <v>184</v>
      </c>
      <c r="CB9" s="72"/>
      <c r="CC9" s="72"/>
      <c r="CD9" s="71"/>
      <c r="CE9" s="60" t="s">
        <v>150</v>
      </c>
      <c r="CF9" s="164" t="s">
        <v>151</v>
      </c>
      <c r="CG9" s="56" t="s">
        <v>152</v>
      </c>
      <c r="CH9" s="30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211</v>
      </c>
      <c r="D10" s="50" t="s">
        <v>133</v>
      </c>
      <c r="E10" s="51">
        <v>5649</v>
      </c>
      <c r="F10" s="52" t="s">
        <v>134</v>
      </c>
      <c r="G10" s="53" t="s">
        <v>135</v>
      </c>
      <c r="H10" s="358" t="s">
        <v>175</v>
      </c>
      <c r="I10" s="341" t="s">
        <v>176</v>
      </c>
      <c r="J10" s="639" t="s">
        <v>212</v>
      </c>
      <c r="K10" s="638" t="s">
        <v>213</v>
      </c>
      <c r="L10" s="341"/>
      <c r="M10" s="640" t="s">
        <v>214</v>
      </c>
      <c r="N10" s="645" t="s">
        <v>215</v>
      </c>
      <c r="O10" s="654" t="s">
        <v>142</v>
      </c>
      <c r="P10" s="655" t="s">
        <v>142</v>
      </c>
      <c r="Q10" s="653" t="s">
        <v>143</v>
      </c>
      <c r="R10" s="61" t="str">
        <f>VLOOKUP(Sheet_1_Table_1_137[[#This Row],[Learning Domain]],[3]List!$A$7:$B$12,2,0)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42">
        <f>WEEKDAY(Sheet_1_Table_1_137[[#This Row],[Lesson 1 
Date 
(DD-MMM-YYYY)]])</f>
        <v>4</v>
      </c>
      <c r="AM10" s="65">
        <v>0.6875</v>
      </c>
      <c r="AN10" s="66">
        <v>0.8125</v>
      </c>
      <c r="AO10" s="67" t="s">
        <v>216</v>
      </c>
      <c r="AP10" s="68"/>
      <c r="AQ10" s="64">
        <f>WEEKDAY(Sheet_1_Table_1_137[[#This Row],[Lesson 1 
Date 
(DD-MMM-YYYY)]])</f>
        <v>4</v>
      </c>
      <c r="AR10" s="65"/>
      <c r="AS10" s="66"/>
      <c r="AT10" s="66"/>
      <c r="AU10" s="63"/>
      <c r="AV10" s="165" t="e">
        <f>WEEKDAY([4]!Sheet_1_Table_1_13[[#This Row],[Lesson 3
Date 
(DD-MMM-YYYY)]])</f>
        <v>#REF!</v>
      </c>
      <c r="AW10" s="65"/>
      <c r="AX10" s="66"/>
      <c r="AY10" s="67"/>
      <c r="AZ10" s="68"/>
      <c r="BA10" s="64" t="e">
        <f>WEEKDAY([4]!Sheet_1_Table_1_13[[#This Row],[Lesson 4
Date 
(DD-MMM-YYYY)]])</f>
        <v>#REF!</v>
      </c>
      <c r="BB10" s="65"/>
      <c r="BC10" s="66"/>
      <c r="BD10" s="66"/>
      <c r="BE10" s="63"/>
      <c r="BF10" s="165" t="e">
        <f>WEEKDAY([4]!Sheet_1_Table_1_13[[#This Row],[Lesson 5
Date 
(DD-MMM-YYYY)]])</f>
        <v>#REF!</v>
      </c>
      <c r="BG10" s="65"/>
      <c r="BH10" s="66"/>
      <c r="BI10" s="67"/>
      <c r="BJ10" s="68"/>
      <c r="BK10" s="165" t="e">
        <f>WEEKDAY([4]!Sheet_1_Table_1_13[[#This Row],[Lesson 6
Date 
(DD-MMM-YYYY)]])</f>
        <v>#REF!</v>
      </c>
      <c r="BL10" s="65"/>
      <c r="BM10" s="66"/>
      <c r="BN10" s="66"/>
      <c r="BO10" s="54"/>
      <c r="BP10" s="69"/>
      <c r="BQ10" s="55"/>
      <c r="BR10" s="645" t="s">
        <v>217</v>
      </c>
      <c r="BS10" s="52"/>
      <c r="BT10" s="56"/>
      <c r="BU10" s="56"/>
      <c r="BV10" s="70"/>
      <c r="BW10" s="60"/>
      <c r="BX10" s="71"/>
      <c r="BY10" s="56" t="s">
        <v>184</v>
      </c>
      <c r="BZ10" s="56"/>
      <c r="CA10" s="656" t="s">
        <v>218</v>
      </c>
      <c r="CB10" s="72"/>
      <c r="CC10" s="72"/>
      <c r="CD10" s="71"/>
      <c r="CE10" s="60" t="s">
        <v>150</v>
      </c>
      <c r="CF10" s="164" t="s">
        <v>151</v>
      </c>
      <c r="CG10" s="56" t="s">
        <v>152</v>
      </c>
      <c r="CH10" s="30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219</v>
      </c>
      <c r="D11" s="50" t="s">
        <v>133</v>
      </c>
      <c r="E11" s="51">
        <v>5650</v>
      </c>
      <c r="F11" s="52" t="s">
        <v>134</v>
      </c>
      <c r="G11" s="53" t="s">
        <v>135</v>
      </c>
      <c r="H11" s="358" t="s">
        <v>175</v>
      </c>
      <c r="I11" s="341" t="s">
        <v>176</v>
      </c>
      <c r="J11" s="639" t="s">
        <v>220</v>
      </c>
      <c r="K11" s="638" t="s">
        <v>221</v>
      </c>
      <c r="L11" s="341"/>
      <c r="M11" s="657" t="s">
        <v>214</v>
      </c>
      <c r="N11" s="640" t="s">
        <v>222</v>
      </c>
      <c r="O11" s="644" t="s">
        <v>142</v>
      </c>
      <c r="P11" s="644" t="s">
        <v>142</v>
      </c>
      <c r="Q11" s="653" t="s">
        <v>143</v>
      </c>
      <c r="R11" s="77" t="str">
        <f>VLOOKUP(Sheet_1_Table_1_137[[#This Row],[Learning Domain]],[3]List!$A$7:$B$12,2,0)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42">
        <f>WEEKDAY(Sheet_1_Table_1_137[[#This Row],[Lesson 1 
Date 
(DD-MMM-YYYY)]])</f>
        <v>4</v>
      </c>
      <c r="AM11" s="65">
        <v>0.6875</v>
      </c>
      <c r="AN11" s="66">
        <v>0.8125</v>
      </c>
      <c r="AO11" s="67" t="s">
        <v>216</v>
      </c>
      <c r="AP11" s="68"/>
      <c r="AQ11" s="64">
        <f>WEEKDAY(Sheet_1_Table_1_137[[#This Row],[Lesson 1 
Date 
(DD-MMM-YYYY)]])</f>
        <v>4</v>
      </c>
      <c r="AR11" s="65"/>
      <c r="AS11" s="66"/>
      <c r="AT11" s="66"/>
      <c r="AU11" s="63"/>
      <c r="AV11" s="64" t="e">
        <f>WEEKDAY([4]!Sheet_1_Table_1_13[[#This Row],[Lesson 3
Date 
(DD-MMM-YYYY)]])</f>
        <v>#REF!</v>
      </c>
      <c r="AW11" s="65"/>
      <c r="AX11" s="66"/>
      <c r="AY11" s="67"/>
      <c r="AZ11" s="68"/>
      <c r="BA11" s="64" t="e">
        <f>WEEKDAY([4]!Sheet_1_Table_1_13[[#This Row],[Lesson 4
Date 
(DD-MMM-YYYY)]])</f>
        <v>#REF!</v>
      </c>
      <c r="BB11" s="65"/>
      <c r="BC11" s="66"/>
      <c r="BD11" s="66"/>
      <c r="BE11" s="63"/>
      <c r="BF11" s="64" t="e">
        <f>WEEKDAY([4]!Sheet_1_Table_1_13[[#This Row],[Lesson 5
Date 
(DD-MMM-YYYY)]])</f>
        <v>#REF!</v>
      </c>
      <c r="BG11" s="65"/>
      <c r="BH11" s="66"/>
      <c r="BI11" s="67"/>
      <c r="BJ11" s="68"/>
      <c r="BK11" s="64" t="e">
        <f>WEEKDAY([4]!Sheet_1_Table_1_13[[#This Row],[Lesson 6
Date 
(DD-MMM-YYYY)]])</f>
        <v>#REF!</v>
      </c>
      <c r="BL11" s="65"/>
      <c r="BM11" s="66"/>
      <c r="BN11" s="66"/>
      <c r="BO11" s="54"/>
      <c r="BP11" s="69"/>
      <c r="BQ11" s="55"/>
      <c r="BR11" s="645" t="s">
        <v>217</v>
      </c>
      <c r="BS11" s="52"/>
      <c r="BT11" s="56"/>
      <c r="BU11" s="56"/>
      <c r="BV11" s="70"/>
      <c r="BW11" s="60"/>
      <c r="BX11" s="71"/>
      <c r="BY11" s="56" t="s">
        <v>149</v>
      </c>
      <c r="BZ11" s="56"/>
      <c r="CA11" s="359" t="s">
        <v>223</v>
      </c>
      <c r="CB11" s="72"/>
      <c r="CC11" s="72"/>
      <c r="CD11" s="71"/>
      <c r="CE11" s="60" t="s">
        <v>150</v>
      </c>
      <c r="CF11" s="164" t="s">
        <v>151</v>
      </c>
      <c r="CG11" s="56" t="s">
        <v>152</v>
      </c>
      <c r="CH11" s="30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90" customFormat="1" ht="237.75" customHeight="1">
      <c r="A12" s="360">
        <v>10</v>
      </c>
      <c r="B12" s="49">
        <v>202609</v>
      </c>
      <c r="C12" s="361" t="s">
        <v>224</v>
      </c>
      <c r="D12" s="361" t="s">
        <v>174</v>
      </c>
      <c r="E12" s="362">
        <v>5790</v>
      </c>
      <c r="F12" s="363" t="s">
        <v>134</v>
      </c>
      <c r="G12" s="362" t="s">
        <v>135</v>
      </c>
      <c r="H12" s="364" t="s">
        <v>175</v>
      </c>
      <c r="I12" s="365" t="s">
        <v>176</v>
      </c>
      <c r="J12" s="658" t="s">
        <v>225</v>
      </c>
      <c r="K12" s="659" t="s">
        <v>226</v>
      </c>
      <c r="L12" s="365"/>
      <c r="M12" s="366" t="s">
        <v>227</v>
      </c>
      <c r="N12" s="366" t="s">
        <v>228</v>
      </c>
      <c r="O12" s="367" t="s">
        <v>146</v>
      </c>
      <c r="P12" s="368" t="s">
        <v>146</v>
      </c>
      <c r="Q12" s="660" t="s">
        <v>143</v>
      </c>
      <c r="R12" s="361" t="str">
        <f>VLOOKUP(Sheet_1_Table_1_137[[#This Row],[Learning Domain]],[3]List!$A$7:$B$12,2,0)</f>
        <v>CELD</v>
      </c>
      <c r="S12" s="369">
        <v>60</v>
      </c>
      <c r="T12" s="369">
        <v>0</v>
      </c>
      <c r="U12" s="369">
        <v>0</v>
      </c>
      <c r="V12" s="369">
        <v>0</v>
      </c>
      <c r="W12" s="369">
        <v>0</v>
      </c>
      <c r="X12" s="369">
        <v>20</v>
      </c>
      <c r="Y12" s="369">
        <v>20</v>
      </c>
      <c r="Z12" s="369">
        <v>0</v>
      </c>
      <c r="AA12" s="369">
        <v>0</v>
      </c>
      <c r="AB12" s="53">
        <f>SUM(Sheet_1_Table_1_137[[#This Row],[Leadership LS]:[Career Development  CR]])</f>
        <v>100</v>
      </c>
      <c r="AC12" s="363" t="s">
        <v>199</v>
      </c>
      <c r="AD12" s="369" t="s">
        <v>145</v>
      </c>
      <c r="AE12" s="369" t="s">
        <v>142</v>
      </c>
      <c r="AF12" s="369" t="s">
        <v>146</v>
      </c>
      <c r="AG12" s="369" t="s">
        <v>142</v>
      </c>
      <c r="AH12" s="178">
        <v>2</v>
      </c>
      <c r="AI12" s="178">
        <v>40</v>
      </c>
      <c r="AJ12" s="370">
        <f>Sheet_1_Table_1_137[[#This Row],[ILP Units Per Session]]*Sheet_1_Table_1_137[[#This Row],[Quota]]</f>
        <v>80</v>
      </c>
      <c r="AK12" s="184">
        <v>46325</v>
      </c>
      <c r="AL12" s="185">
        <f>WEEKDAY(Sheet_1_Table_1_137[[#This Row],[Lesson 1 
Date 
(DD-MMM-YYYY)]])</f>
        <v>6</v>
      </c>
      <c r="AM12" s="186">
        <v>0.66666666666666663</v>
      </c>
      <c r="AN12" s="187">
        <v>0.75</v>
      </c>
      <c r="AO12" s="188" t="s">
        <v>229</v>
      </c>
      <c r="AP12" s="371"/>
      <c r="AQ12" s="372">
        <f>WEEKDAY(Sheet_1_Table_1_137[[#This Row],[Lesson 1 
Date 
(DD-MMM-YYYY)]])</f>
        <v>6</v>
      </c>
      <c r="AR12" s="373"/>
      <c r="AS12" s="374"/>
      <c r="AT12" s="374"/>
      <c r="AU12" s="375"/>
      <c r="AV12" s="372" t="e">
        <f>WEEKDAY([4]!Sheet_1_Table_1_13[[#This Row],[Lesson 3
Date 
(DD-MMM-YYYY)]])</f>
        <v>#REF!</v>
      </c>
      <c r="AW12" s="373"/>
      <c r="AX12" s="374"/>
      <c r="AY12" s="376"/>
      <c r="AZ12" s="371"/>
      <c r="BA12" s="372" t="e">
        <f>WEEKDAY([4]!Sheet_1_Table_1_13[[#This Row],[Lesson 4
Date 
(DD-MMM-YYYY)]])</f>
        <v>#REF!</v>
      </c>
      <c r="BB12" s="373"/>
      <c r="BC12" s="374"/>
      <c r="BD12" s="374"/>
      <c r="BE12" s="375"/>
      <c r="BF12" s="372" t="e">
        <f>WEEKDAY([4]!Sheet_1_Table_1_13[[#This Row],[Lesson 5
Date 
(DD-MMM-YYYY)]])</f>
        <v>#REF!</v>
      </c>
      <c r="BG12" s="373"/>
      <c r="BH12" s="374"/>
      <c r="BI12" s="376"/>
      <c r="BJ12" s="371"/>
      <c r="BK12" s="372" t="e">
        <f>WEEKDAY([4]!Sheet_1_Table_1_13[[#This Row],[Lesson 6
Date 
(DD-MMM-YYYY)]])</f>
        <v>#REF!</v>
      </c>
      <c r="BL12" s="373"/>
      <c r="BM12" s="374"/>
      <c r="BN12" s="374"/>
      <c r="BO12" s="377"/>
      <c r="BP12" s="378"/>
      <c r="BQ12" s="369"/>
      <c r="BR12" s="661" t="s">
        <v>230</v>
      </c>
      <c r="BS12" s="363"/>
      <c r="BT12" s="379"/>
      <c r="BU12" s="379"/>
      <c r="BV12" s="380"/>
      <c r="BW12" s="381"/>
      <c r="BX12" s="382"/>
      <c r="BY12" s="379"/>
      <c r="BZ12" s="379"/>
      <c r="CA12" s="383" t="s">
        <v>231</v>
      </c>
      <c r="CB12" s="384"/>
      <c r="CC12" s="384"/>
      <c r="CD12" s="382"/>
      <c r="CE12" s="381" t="s">
        <v>150</v>
      </c>
      <c r="CF12" s="385" t="s">
        <v>151</v>
      </c>
      <c r="CG12" s="379" t="s">
        <v>152</v>
      </c>
      <c r="CH12" s="386" t="s">
        <v>153</v>
      </c>
      <c r="CI12" s="363" t="s">
        <v>146</v>
      </c>
      <c r="CJ12" s="363" t="s">
        <v>142</v>
      </c>
      <c r="CK12" s="363" t="s">
        <v>142</v>
      </c>
      <c r="CL12" s="363" t="s">
        <v>142</v>
      </c>
      <c r="CM12" s="363" t="s">
        <v>146</v>
      </c>
      <c r="CN12" s="363" t="s">
        <v>142</v>
      </c>
      <c r="CO12" s="363" t="s">
        <v>142</v>
      </c>
      <c r="CP12" s="363" t="s">
        <v>142</v>
      </c>
      <c r="CQ12" s="363" t="s">
        <v>142</v>
      </c>
      <c r="CR12" s="363" t="s">
        <v>142</v>
      </c>
      <c r="CS12" s="363" t="s">
        <v>146</v>
      </c>
      <c r="CT12" s="363" t="s">
        <v>142</v>
      </c>
      <c r="CU12" s="363" t="s">
        <v>142</v>
      </c>
      <c r="CV12" s="363" t="s">
        <v>142</v>
      </c>
      <c r="CW12" s="363" t="s">
        <v>142</v>
      </c>
      <c r="CX12" s="363" t="s">
        <v>142</v>
      </c>
      <c r="CY12" s="363" t="s">
        <v>146</v>
      </c>
      <c r="CZ12" s="363" t="s">
        <v>146</v>
      </c>
      <c r="DA12" s="377" t="s">
        <v>154</v>
      </c>
      <c r="DB12" s="361" t="s">
        <v>155</v>
      </c>
      <c r="DC12" s="361" t="s">
        <v>156</v>
      </c>
      <c r="DD12" s="361" t="s">
        <v>146</v>
      </c>
      <c r="DE12" s="361" t="s">
        <v>157</v>
      </c>
      <c r="DF12" s="361" t="s">
        <v>146</v>
      </c>
      <c r="DG12" s="387"/>
      <c r="DH12" s="387"/>
      <c r="DI12" s="388"/>
      <c r="DJ12" s="387"/>
      <c r="DK12" s="369" t="s">
        <v>146</v>
      </c>
      <c r="DL12" s="369" t="s">
        <v>146</v>
      </c>
      <c r="DM12" s="369" t="s">
        <v>146</v>
      </c>
      <c r="DN12" s="389"/>
      <c r="DO12" s="389"/>
      <c r="DP12" s="389"/>
      <c r="DQ12" s="389"/>
      <c r="DR12" s="389"/>
      <c r="DS12" s="389"/>
    </row>
    <row r="13" spans="1:156" s="390" customFormat="1" ht="150.75" customHeight="1">
      <c r="A13" s="360">
        <v>11</v>
      </c>
      <c r="B13" s="49">
        <v>202609</v>
      </c>
      <c r="C13" s="361" t="s">
        <v>232</v>
      </c>
      <c r="D13" s="361" t="s">
        <v>204</v>
      </c>
      <c r="E13" s="362">
        <v>5791</v>
      </c>
      <c r="F13" s="363" t="s">
        <v>134</v>
      </c>
      <c r="G13" s="362" t="s">
        <v>135</v>
      </c>
      <c r="H13" s="364" t="s">
        <v>175</v>
      </c>
      <c r="I13" s="365" t="s">
        <v>176</v>
      </c>
      <c r="J13" s="658" t="s">
        <v>233</v>
      </c>
      <c r="K13" s="659" t="s">
        <v>234</v>
      </c>
      <c r="L13" s="365"/>
      <c r="M13" s="391" t="s">
        <v>235</v>
      </c>
      <c r="N13" s="392" t="s">
        <v>236</v>
      </c>
      <c r="O13" s="367" t="s">
        <v>146</v>
      </c>
      <c r="P13" s="367" t="s">
        <v>146</v>
      </c>
      <c r="Q13" s="660" t="s">
        <v>143</v>
      </c>
      <c r="R13" s="393" t="str">
        <f>VLOOKUP(Sheet_1_Table_1_137[[#This Row],[Learning Domain]],[3]List!$A$7:$B$12,2,0)</f>
        <v>CELD</v>
      </c>
      <c r="S13" s="369">
        <v>60</v>
      </c>
      <c r="T13" s="369">
        <v>0</v>
      </c>
      <c r="U13" s="369">
        <v>0</v>
      </c>
      <c r="V13" s="369">
        <v>0</v>
      </c>
      <c r="W13" s="369">
        <v>0</v>
      </c>
      <c r="X13" s="369">
        <v>20</v>
      </c>
      <c r="Y13" s="369">
        <v>20</v>
      </c>
      <c r="Z13" s="369">
        <v>0</v>
      </c>
      <c r="AA13" s="369">
        <v>0</v>
      </c>
      <c r="AB13" s="53">
        <f>SUM(Sheet_1_Table_1_137[[#This Row],[Leadership LS]:[Career Development  CR]])</f>
        <v>100</v>
      </c>
      <c r="AC13" s="363" t="s">
        <v>199</v>
      </c>
      <c r="AD13" s="369" t="s">
        <v>145</v>
      </c>
      <c r="AE13" s="369" t="s">
        <v>142</v>
      </c>
      <c r="AF13" s="369" t="s">
        <v>146</v>
      </c>
      <c r="AG13" s="369" t="s">
        <v>142</v>
      </c>
      <c r="AH13" s="178">
        <v>1.5</v>
      </c>
      <c r="AI13" s="178">
        <v>40</v>
      </c>
      <c r="AJ13" s="370">
        <f>Sheet_1_Table_1_137[[#This Row],[ILP Units Per Session]]*Sheet_1_Table_1_137[[#This Row],[Quota]]</f>
        <v>60</v>
      </c>
      <c r="AK13" s="184">
        <v>46328</v>
      </c>
      <c r="AL13" s="185">
        <f>WEEKDAY(Sheet_1_Table_1_137[[#This Row],[Lesson 1 
Date 
(DD-MMM-YYYY)]])</f>
        <v>2</v>
      </c>
      <c r="AM13" s="186">
        <v>0.66666666666666663</v>
      </c>
      <c r="AN13" s="187">
        <v>0.72916666666666663</v>
      </c>
      <c r="AO13" s="188" t="s">
        <v>237</v>
      </c>
      <c r="AP13" s="371"/>
      <c r="AQ13" s="372">
        <f>WEEKDAY(Sheet_1_Table_1_137[[#This Row],[Lesson 1 
Date 
(DD-MMM-YYYY)]])</f>
        <v>2</v>
      </c>
      <c r="AR13" s="373"/>
      <c r="AS13" s="374"/>
      <c r="AT13" s="374"/>
      <c r="AU13" s="375"/>
      <c r="AV13" s="372" t="e">
        <f>WEEKDAY([4]!Sheet_1_Table_1_13[[#This Row],[Lesson 3
Date 
(DD-MMM-YYYY)]])</f>
        <v>#REF!</v>
      </c>
      <c r="AW13" s="373"/>
      <c r="AX13" s="374"/>
      <c r="AY13" s="376"/>
      <c r="AZ13" s="371"/>
      <c r="BA13" s="372" t="e">
        <f>WEEKDAY([4]!Sheet_1_Table_1_13[[#This Row],[Lesson 4
Date 
(DD-MMM-YYYY)]])</f>
        <v>#REF!</v>
      </c>
      <c r="BB13" s="373"/>
      <c r="BC13" s="374"/>
      <c r="BD13" s="374"/>
      <c r="BE13" s="375"/>
      <c r="BF13" s="372" t="e">
        <f>WEEKDAY([4]!Sheet_1_Table_1_13[[#This Row],[Lesson 5
Date 
(DD-MMM-YYYY)]])</f>
        <v>#REF!</v>
      </c>
      <c r="BG13" s="373"/>
      <c r="BH13" s="374"/>
      <c r="BI13" s="376"/>
      <c r="BJ13" s="371"/>
      <c r="BK13" s="372" t="e">
        <f>WEEKDAY([4]!Sheet_1_Table_1_13[[#This Row],[Lesson 6
Date 
(DD-MMM-YYYY)]])</f>
        <v>#REF!</v>
      </c>
      <c r="BL13" s="373"/>
      <c r="BM13" s="374"/>
      <c r="BN13" s="374"/>
      <c r="BO13" s="377"/>
      <c r="BP13" s="378"/>
      <c r="BQ13" s="369"/>
      <c r="BR13" s="661" t="s">
        <v>230</v>
      </c>
      <c r="BS13" s="363"/>
      <c r="BT13" s="379"/>
      <c r="BU13" s="379"/>
      <c r="BV13" s="380"/>
      <c r="BW13" s="381"/>
      <c r="BX13" s="382"/>
      <c r="BY13" s="379"/>
      <c r="BZ13" s="379"/>
      <c r="CA13" s="394" t="s">
        <v>238</v>
      </c>
      <c r="CB13" s="384"/>
      <c r="CC13" s="384"/>
      <c r="CD13" s="382"/>
      <c r="CE13" s="381" t="s">
        <v>150</v>
      </c>
      <c r="CF13" s="385" t="s">
        <v>151</v>
      </c>
      <c r="CG13" s="379" t="s">
        <v>152</v>
      </c>
      <c r="CH13" s="386" t="s">
        <v>153</v>
      </c>
      <c r="CI13" s="363" t="s">
        <v>146</v>
      </c>
      <c r="CJ13" s="363" t="s">
        <v>142</v>
      </c>
      <c r="CK13" s="363" t="s">
        <v>142</v>
      </c>
      <c r="CL13" s="363" t="s">
        <v>142</v>
      </c>
      <c r="CM13" s="363" t="s">
        <v>146</v>
      </c>
      <c r="CN13" s="363" t="s">
        <v>142</v>
      </c>
      <c r="CO13" s="363" t="s">
        <v>142</v>
      </c>
      <c r="CP13" s="363" t="s">
        <v>142</v>
      </c>
      <c r="CQ13" s="363" t="s">
        <v>142</v>
      </c>
      <c r="CR13" s="363" t="s">
        <v>142</v>
      </c>
      <c r="CS13" s="363" t="s">
        <v>146</v>
      </c>
      <c r="CT13" s="363" t="s">
        <v>142</v>
      </c>
      <c r="CU13" s="363" t="s">
        <v>142</v>
      </c>
      <c r="CV13" s="363" t="s">
        <v>142</v>
      </c>
      <c r="CW13" s="363" t="s">
        <v>142</v>
      </c>
      <c r="CX13" s="363" t="s">
        <v>142</v>
      </c>
      <c r="CY13" s="363" t="s">
        <v>146</v>
      </c>
      <c r="CZ13" s="363" t="s">
        <v>146</v>
      </c>
      <c r="DA13" s="377" t="s">
        <v>154</v>
      </c>
      <c r="DB13" s="361" t="s">
        <v>155</v>
      </c>
      <c r="DC13" s="361" t="s">
        <v>156</v>
      </c>
      <c r="DD13" s="361" t="s">
        <v>146</v>
      </c>
      <c r="DE13" s="361" t="s">
        <v>157</v>
      </c>
      <c r="DF13" s="361" t="s">
        <v>146</v>
      </c>
      <c r="DG13" s="387"/>
      <c r="DH13" s="387"/>
      <c r="DI13" s="388"/>
      <c r="DJ13" s="387"/>
      <c r="DK13" s="369" t="s">
        <v>146</v>
      </c>
      <c r="DL13" s="369" t="s">
        <v>146</v>
      </c>
      <c r="DM13" s="369" t="s">
        <v>146</v>
      </c>
      <c r="DN13" s="389"/>
      <c r="DO13" s="389"/>
      <c r="DP13" s="389"/>
      <c r="DQ13" s="389"/>
      <c r="DR13" s="389"/>
      <c r="DS13" s="389"/>
    </row>
    <row r="14" spans="1:156" ht="246.75" customHeight="1">
      <c r="A14" s="48">
        <v>12</v>
      </c>
      <c r="B14" s="49">
        <v>202609</v>
      </c>
      <c r="C14" s="50" t="s">
        <v>239</v>
      </c>
      <c r="D14" s="50" t="s">
        <v>174</v>
      </c>
      <c r="E14" s="51">
        <v>5651</v>
      </c>
      <c r="F14" s="52" t="s">
        <v>134</v>
      </c>
      <c r="G14" s="53" t="s">
        <v>135</v>
      </c>
      <c r="H14" s="358" t="s">
        <v>175</v>
      </c>
      <c r="I14" s="341" t="s">
        <v>176</v>
      </c>
      <c r="J14" s="639" t="s">
        <v>240</v>
      </c>
      <c r="K14" s="638" t="s">
        <v>241</v>
      </c>
      <c r="L14" s="341"/>
      <c r="M14" s="395" t="s">
        <v>242</v>
      </c>
      <c r="N14" s="395" t="s">
        <v>243</v>
      </c>
      <c r="O14" s="351" t="s">
        <v>146</v>
      </c>
      <c r="P14" s="351" t="s">
        <v>146</v>
      </c>
      <c r="Q14" s="653" t="s">
        <v>143</v>
      </c>
      <c r="R14" s="61" t="str">
        <f>VLOOKUP(Sheet_1_Table_1_137[[#This Row],[Learning Domain]],[3]List!$A$7:$B$12,2,0)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244</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245</v>
      </c>
      <c r="AP14" s="68"/>
      <c r="AQ14" s="64">
        <f>WEEKDAY(Sheet_1_Table_1_137[[#This Row],[Lesson 1 
Date 
(DD-MMM-YYYY)]])</f>
        <v>4</v>
      </c>
      <c r="AR14" s="65"/>
      <c r="AS14" s="66"/>
      <c r="AT14" s="66"/>
      <c r="AU14" s="63"/>
      <c r="AV14" s="64" t="e">
        <f>WEEKDAY([4]!Sheet_1_Table_1_13[[#This Row],[Lesson 3
Date 
(DD-MMM-YYYY)]])</f>
        <v>#REF!</v>
      </c>
      <c r="AW14" s="65"/>
      <c r="AX14" s="66"/>
      <c r="AY14" s="67"/>
      <c r="AZ14" s="68"/>
      <c r="BA14" s="64" t="e">
        <f>WEEKDAY([4]!Sheet_1_Table_1_13[[#This Row],[Lesson 4
Date 
(DD-MMM-YYYY)]])</f>
        <v>#REF!</v>
      </c>
      <c r="BB14" s="65"/>
      <c r="BC14" s="66"/>
      <c r="BD14" s="66"/>
      <c r="BE14" s="63"/>
      <c r="BF14" s="64" t="e">
        <f>WEEKDAY([4]!Sheet_1_Table_1_13[[#This Row],[Lesson 5
Date 
(DD-MMM-YYYY)]])</f>
        <v>#REF!</v>
      </c>
      <c r="BG14" s="65"/>
      <c r="BH14" s="66"/>
      <c r="BI14" s="67"/>
      <c r="BJ14" s="68"/>
      <c r="BK14" s="64" t="e">
        <f>WEEKDAY([4]!Sheet_1_Table_1_13[[#This Row],[Lesson 6
Date 
(DD-MMM-YYYY)]])</f>
        <v>#REF!</v>
      </c>
      <c r="BL14" s="65"/>
      <c r="BM14" s="66"/>
      <c r="BN14" s="66"/>
      <c r="BO14" s="54"/>
      <c r="BP14" s="69"/>
      <c r="BQ14" s="55"/>
      <c r="BR14" s="645" t="s">
        <v>246</v>
      </c>
      <c r="BS14" s="52"/>
      <c r="BT14" s="56"/>
      <c r="BU14" s="56"/>
      <c r="BV14" s="70"/>
      <c r="BW14" s="60"/>
      <c r="BX14" s="71"/>
      <c r="BY14" s="656" t="s">
        <v>247</v>
      </c>
      <c r="BZ14" s="656" t="s">
        <v>247</v>
      </c>
      <c r="CA14" s="359" t="s">
        <v>248</v>
      </c>
      <c r="CB14" s="72"/>
      <c r="CC14" s="72"/>
      <c r="CD14" s="71"/>
      <c r="CE14" s="60" t="s">
        <v>150</v>
      </c>
      <c r="CF14" s="164" t="s">
        <v>151</v>
      </c>
      <c r="CG14" s="56" t="s">
        <v>152</v>
      </c>
      <c r="CH14" s="30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249</v>
      </c>
      <c r="D15" s="50" t="s">
        <v>250</v>
      </c>
      <c r="E15" s="51">
        <v>5652</v>
      </c>
      <c r="F15" s="52" t="s">
        <v>134</v>
      </c>
      <c r="G15" s="53" t="s">
        <v>135</v>
      </c>
      <c r="H15" s="358" t="s">
        <v>175</v>
      </c>
      <c r="I15" s="341" t="s">
        <v>176</v>
      </c>
      <c r="J15" s="653" t="s">
        <v>251</v>
      </c>
      <c r="K15" s="638" t="s">
        <v>252</v>
      </c>
      <c r="L15" s="341"/>
      <c r="M15" s="640" t="s">
        <v>253</v>
      </c>
      <c r="N15" s="645" t="s">
        <v>254</v>
      </c>
      <c r="O15" s="351" t="s">
        <v>146</v>
      </c>
      <c r="P15" s="351" t="s">
        <v>146</v>
      </c>
      <c r="Q15" s="662" t="s">
        <v>143</v>
      </c>
      <c r="R15" s="77" t="str">
        <f>VLOOKUP(Sheet_1_Table_1_137[[#This Row],[Learning Domain]],[3]List!$A$7:$B$12,2,0)</f>
        <v>CELD</v>
      </c>
      <c r="S15" s="55">
        <v>60</v>
      </c>
      <c r="T15" s="55"/>
      <c r="U15" s="55"/>
      <c r="V15" s="55">
        <v>20</v>
      </c>
      <c r="W15" s="55"/>
      <c r="X15" s="55"/>
      <c r="Y15" s="55">
        <v>20</v>
      </c>
      <c r="Z15" s="55"/>
      <c r="AA15" s="55"/>
      <c r="AB15" s="53">
        <f>SUM(Sheet_1_Table_1_137[[#This Row],[Leadership LS]:[Career Development  CR]])</f>
        <v>100</v>
      </c>
      <c r="AC15" s="52" t="s">
        <v>244</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255</v>
      </c>
      <c r="AP15" s="68"/>
      <c r="AQ15" s="64">
        <f>WEEKDAY(Sheet_1_Table_1_137[[#This Row],[Lesson 1 
Date 
(DD-MMM-YYYY)]])</f>
        <v>2</v>
      </c>
      <c r="AR15" s="65"/>
      <c r="AS15" s="66"/>
      <c r="AT15" s="66"/>
      <c r="AU15" s="63"/>
      <c r="AV15" s="64" t="e">
        <f>WEEKDAY([4]!Sheet_1_Table_1_13[[#This Row],[Lesson 3
Date 
(DD-MMM-YYYY)]])</f>
        <v>#REF!</v>
      </c>
      <c r="AW15" s="65"/>
      <c r="AX15" s="66"/>
      <c r="AY15" s="67"/>
      <c r="AZ15" s="68"/>
      <c r="BA15" s="64" t="e">
        <f>WEEKDAY([4]!Sheet_1_Table_1_13[[#This Row],[Lesson 4
Date 
(DD-MMM-YYYY)]])</f>
        <v>#REF!</v>
      </c>
      <c r="BB15" s="65"/>
      <c r="BC15" s="66"/>
      <c r="BD15" s="66"/>
      <c r="BE15" s="63"/>
      <c r="BF15" s="64" t="e">
        <f>WEEKDAY([4]!Sheet_1_Table_1_13[[#This Row],[Lesson 5
Date 
(DD-MMM-YYYY)]])</f>
        <v>#REF!</v>
      </c>
      <c r="BG15" s="65"/>
      <c r="BH15" s="66"/>
      <c r="BI15" s="67"/>
      <c r="BJ15" s="68"/>
      <c r="BK15" s="64" t="e">
        <f>WEEKDAY([4]!Sheet_1_Table_1_13[[#This Row],[Lesson 6
Date 
(DD-MMM-YYYY)]])</f>
        <v>#REF!</v>
      </c>
      <c r="BL15" s="65"/>
      <c r="BM15" s="66"/>
      <c r="BN15" s="66"/>
      <c r="BO15" s="54"/>
      <c r="BP15" s="69"/>
      <c r="BQ15" s="55"/>
      <c r="BR15" s="57" t="s">
        <v>256</v>
      </c>
      <c r="BS15" s="52"/>
      <c r="BT15" s="56"/>
      <c r="BU15" s="56"/>
      <c r="BV15" s="70"/>
      <c r="BW15" s="60"/>
      <c r="BX15" s="195"/>
      <c r="BY15" s="656" t="s">
        <v>247</v>
      </c>
      <c r="BZ15" s="656" t="s">
        <v>247</v>
      </c>
      <c r="CA15" s="359" t="s">
        <v>257</v>
      </c>
      <c r="CB15" s="72"/>
      <c r="CC15" s="72"/>
      <c r="CD15" s="71"/>
      <c r="CE15" s="60" t="s">
        <v>150</v>
      </c>
      <c r="CF15" s="164" t="s">
        <v>151</v>
      </c>
      <c r="CG15" s="56" t="s">
        <v>152</v>
      </c>
      <c r="CH15" s="30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258</v>
      </c>
      <c r="D16" s="50" t="s">
        <v>250</v>
      </c>
      <c r="E16" s="51">
        <v>5653</v>
      </c>
      <c r="F16" s="52" t="s">
        <v>134</v>
      </c>
      <c r="G16" s="53" t="s">
        <v>135</v>
      </c>
      <c r="H16" s="358" t="s">
        <v>175</v>
      </c>
      <c r="I16" s="341" t="s">
        <v>176</v>
      </c>
      <c r="J16" s="653" t="s">
        <v>259</v>
      </c>
      <c r="K16" s="638" t="s">
        <v>260</v>
      </c>
      <c r="L16" s="341"/>
      <c r="M16" s="56" t="s">
        <v>261</v>
      </c>
      <c r="N16" s="57" t="s">
        <v>262</v>
      </c>
      <c r="O16" s="351" t="s">
        <v>146</v>
      </c>
      <c r="P16" s="351" t="s">
        <v>146</v>
      </c>
      <c r="Q16" s="60" t="s">
        <v>143</v>
      </c>
      <c r="R16" s="61" t="str">
        <f>VLOOKUP(Sheet_1_Table_1_137[[#This Row],[Learning Domain]],[3]List!$A$7:$B$12,2,0)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263</v>
      </c>
      <c r="AP16" s="68"/>
      <c r="AQ16" s="64">
        <f>WEEKDAY(Sheet_1_Table_1_137[[#This Row],[Lesson 1 
Date 
(DD-MMM-YYYY)]])</f>
        <v>4</v>
      </c>
      <c r="AR16" s="65"/>
      <c r="AS16" s="66"/>
      <c r="AT16" s="66"/>
      <c r="AU16" s="63"/>
      <c r="AV16" s="64" t="e">
        <f>WEEKDAY([4]!Sheet_1_Table_1_13[[#This Row],[Lesson 3
Date 
(DD-MMM-YYYY)]])</f>
        <v>#REF!</v>
      </c>
      <c r="AW16" s="65"/>
      <c r="AX16" s="66"/>
      <c r="AY16" s="67"/>
      <c r="AZ16" s="68"/>
      <c r="BA16" s="64" t="e">
        <f>WEEKDAY([4]!Sheet_1_Table_1_13[[#This Row],[Lesson 4
Date 
(DD-MMM-YYYY)]])</f>
        <v>#REF!</v>
      </c>
      <c r="BB16" s="65"/>
      <c r="BC16" s="66"/>
      <c r="BD16" s="66"/>
      <c r="BE16" s="63"/>
      <c r="BF16" s="64" t="e">
        <f>WEEKDAY([4]!Sheet_1_Table_1_13[[#This Row],[Lesson 5
Date 
(DD-MMM-YYYY)]])</f>
        <v>#REF!</v>
      </c>
      <c r="BG16" s="65"/>
      <c r="BH16" s="66"/>
      <c r="BI16" s="67"/>
      <c r="BJ16" s="68"/>
      <c r="BK16" s="64" t="e">
        <f>WEEKDAY([4]!Sheet_1_Table_1_13[[#This Row],[Lesson 6
Date 
(DD-MMM-YYYY)]])</f>
        <v>#REF!</v>
      </c>
      <c r="BL16" s="65"/>
      <c r="BM16" s="66"/>
      <c r="BN16" s="66"/>
      <c r="BO16" s="54"/>
      <c r="BP16" s="69"/>
      <c r="BQ16" s="55"/>
      <c r="BR16" s="57" t="s">
        <v>264</v>
      </c>
      <c r="BS16" s="52"/>
      <c r="BT16" s="56"/>
      <c r="BU16" s="56"/>
      <c r="BV16" s="70"/>
      <c r="BW16" s="60"/>
      <c r="BX16" s="71"/>
      <c r="BY16" s="56"/>
      <c r="BZ16" s="56"/>
      <c r="CA16" s="56"/>
      <c r="CB16" s="72"/>
      <c r="CC16" s="72"/>
      <c r="CD16" s="71"/>
      <c r="CE16" s="60" t="s">
        <v>150</v>
      </c>
      <c r="CF16" s="164" t="s">
        <v>151</v>
      </c>
      <c r="CG16" s="56" t="s">
        <v>152</v>
      </c>
      <c r="CH16" s="30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25" customFormat="1" ht="157.5">
      <c r="A17" s="396">
        <v>15</v>
      </c>
      <c r="B17" s="49">
        <v>202609</v>
      </c>
      <c r="C17" s="397"/>
      <c r="D17" s="397"/>
      <c r="E17" s="398"/>
      <c r="F17" s="399" t="s">
        <v>134</v>
      </c>
      <c r="G17" s="398" t="s">
        <v>135</v>
      </c>
      <c r="H17" s="400" t="s">
        <v>175</v>
      </c>
      <c r="I17" s="401" t="s">
        <v>176</v>
      </c>
      <c r="J17" s="663" t="s">
        <v>265</v>
      </c>
      <c r="K17" s="664" t="s">
        <v>266</v>
      </c>
      <c r="L17" s="401"/>
      <c r="M17" s="665" t="s">
        <v>267</v>
      </c>
      <c r="N17" s="666" t="s">
        <v>268</v>
      </c>
      <c r="O17" s="402" t="s">
        <v>142</v>
      </c>
      <c r="P17" s="402" t="s">
        <v>142</v>
      </c>
      <c r="Q17" s="667" t="s">
        <v>143</v>
      </c>
      <c r="R17" s="403" t="str">
        <f>VLOOKUP(Sheet_1_Table_1_137[[#This Row],[Learning Domain]],[3]List!$A$7:$B$12,2,0)</f>
        <v>CELD</v>
      </c>
      <c r="S17" s="404">
        <v>100</v>
      </c>
      <c r="T17" s="404">
        <v>0</v>
      </c>
      <c r="U17" s="404">
        <v>0</v>
      </c>
      <c r="V17" s="404">
        <v>0</v>
      </c>
      <c r="W17" s="404">
        <v>0</v>
      </c>
      <c r="X17" s="404">
        <v>0</v>
      </c>
      <c r="Y17" s="404">
        <v>0</v>
      </c>
      <c r="Z17" s="404">
        <v>0</v>
      </c>
      <c r="AA17" s="404">
        <v>0</v>
      </c>
      <c r="AB17" s="53">
        <f>SUM(Sheet_1_Table_1_137[[#This Row],[Leadership LS]:[Career Development  CR]])</f>
        <v>100</v>
      </c>
      <c r="AC17" s="399" t="s">
        <v>244</v>
      </c>
      <c r="AD17" s="404" t="s">
        <v>190</v>
      </c>
      <c r="AE17" s="404" t="s">
        <v>142</v>
      </c>
      <c r="AF17" s="404" t="s">
        <v>146</v>
      </c>
      <c r="AG17" s="404" t="s">
        <v>142</v>
      </c>
      <c r="AH17" s="404">
        <v>6</v>
      </c>
      <c r="AI17" s="404">
        <v>30</v>
      </c>
      <c r="AJ17" s="405">
        <f>Sheet_1_Table_1_137[[#This Row],[ILP Units Per Session]]*Sheet_1_Table_1_137[[#This Row],[Quota]]</f>
        <v>180</v>
      </c>
      <c r="AK17" s="406">
        <v>46356</v>
      </c>
      <c r="AL17" s="64">
        <f>WEEKDAY(Sheet_1_Table_1_137[[#This Row],[Lesson 1 
Date 
(DD-MMM-YYYY)]]
)</f>
        <v>2</v>
      </c>
      <c r="AM17" s="408">
        <v>0.375</v>
      </c>
      <c r="AN17" s="409">
        <v>0.75</v>
      </c>
      <c r="AO17" s="410"/>
      <c r="AP17" s="411"/>
      <c r="AQ17" s="407">
        <f>WEEKDAY(Sheet_1_Table_1_137[[#This Row],[Lesson 1 
Date 
(DD-MMM-YYYY)]])</f>
        <v>2</v>
      </c>
      <c r="AR17" s="408"/>
      <c r="AS17" s="409"/>
      <c r="AT17" s="409"/>
      <c r="AU17" s="406"/>
      <c r="AV17" s="407" t="e">
        <f>WEEKDAY([4]!Sheet_1_Table_1_13[[#This Row],[Lesson 3
Date 
(DD-MMM-YYYY)]])</f>
        <v>#REF!</v>
      </c>
      <c r="AW17" s="408"/>
      <c r="AX17" s="409"/>
      <c r="AY17" s="410"/>
      <c r="AZ17" s="411"/>
      <c r="BA17" s="407" t="e">
        <f>WEEKDAY([4]!Sheet_1_Table_1_13[[#This Row],[Lesson 4
Date 
(DD-MMM-YYYY)]])</f>
        <v>#REF!</v>
      </c>
      <c r="BB17" s="408"/>
      <c r="BC17" s="409"/>
      <c r="BD17" s="409"/>
      <c r="BE17" s="406"/>
      <c r="BF17" s="407" t="e">
        <f>WEEKDAY([4]!Sheet_1_Table_1_13[[#This Row],[Lesson 5
Date 
(DD-MMM-YYYY)]])</f>
        <v>#REF!</v>
      </c>
      <c r="BG17" s="408"/>
      <c r="BH17" s="409"/>
      <c r="BI17" s="410"/>
      <c r="BJ17" s="411"/>
      <c r="BK17" s="407" t="e">
        <f>WEEKDAY([4]!Sheet_1_Table_1_13[[#This Row],[Lesson 6
Date 
(DD-MMM-YYYY)]])</f>
        <v>#REF!</v>
      </c>
      <c r="BL17" s="408"/>
      <c r="BM17" s="409"/>
      <c r="BN17" s="409"/>
      <c r="BO17" s="412"/>
      <c r="BP17" s="413"/>
      <c r="BQ17" s="404"/>
      <c r="BR17" s="668" t="s">
        <v>269</v>
      </c>
      <c r="BS17" s="399"/>
      <c r="BT17" s="414"/>
      <c r="BU17" s="414"/>
      <c r="BV17" s="415"/>
      <c r="BW17" s="416"/>
      <c r="BX17" s="417"/>
      <c r="BY17" s="414"/>
      <c r="BZ17" s="414"/>
      <c r="CA17" s="414"/>
      <c r="CB17" s="418"/>
      <c r="CC17" s="418"/>
      <c r="CD17" s="417"/>
      <c r="CE17" s="416" t="s">
        <v>150</v>
      </c>
      <c r="CF17" s="419" t="s">
        <v>151</v>
      </c>
      <c r="CG17" s="414" t="s">
        <v>270</v>
      </c>
      <c r="CH17" s="420" t="s">
        <v>271</v>
      </c>
      <c r="CI17" s="399" t="s">
        <v>142</v>
      </c>
      <c r="CJ17" s="399" t="s">
        <v>142</v>
      </c>
      <c r="CK17" s="399" t="s">
        <v>142</v>
      </c>
      <c r="CL17" s="399" t="s">
        <v>142</v>
      </c>
      <c r="CM17" s="399" t="s">
        <v>146</v>
      </c>
      <c r="CN17" s="399" t="s">
        <v>142</v>
      </c>
      <c r="CO17" s="399" t="s">
        <v>142</v>
      </c>
      <c r="CP17" s="399" t="s">
        <v>142</v>
      </c>
      <c r="CQ17" s="399" t="s">
        <v>142</v>
      </c>
      <c r="CR17" s="399" t="s">
        <v>142</v>
      </c>
      <c r="CS17" s="399" t="s">
        <v>142</v>
      </c>
      <c r="CT17" s="399" t="s">
        <v>142</v>
      </c>
      <c r="CU17" s="399" t="s">
        <v>142</v>
      </c>
      <c r="CV17" s="399" t="s">
        <v>142</v>
      </c>
      <c r="CW17" s="399" t="s">
        <v>142</v>
      </c>
      <c r="CX17" s="399" t="s">
        <v>142</v>
      </c>
      <c r="CY17" s="399" t="s">
        <v>142</v>
      </c>
      <c r="CZ17" s="421" t="s">
        <v>142</v>
      </c>
      <c r="DA17" s="412" t="s">
        <v>154</v>
      </c>
      <c r="DB17" s="397" t="s">
        <v>155</v>
      </c>
      <c r="DC17" s="397" t="s">
        <v>156</v>
      </c>
      <c r="DD17" s="397" t="s">
        <v>146</v>
      </c>
      <c r="DE17" s="397" t="s">
        <v>157</v>
      </c>
      <c r="DF17" s="397" t="s">
        <v>146</v>
      </c>
      <c r="DG17" s="422"/>
      <c r="DH17" s="422"/>
      <c r="DI17" s="423"/>
      <c r="DJ17" s="422"/>
      <c r="DK17" s="404" t="s">
        <v>146</v>
      </c>
      <c r="DL17" s="404" t="s">
        <v>146</v>
      </c>
      <c r="DM17" s="404" t="s">
        <v>146</v>
      </c>
      <c r="DN17" s="424"/>
      <c r="DO17" s="424"/>
      <c r="DP17" s="424"/>
      <c r="DQ17" s="424"/>
      <c r="DR17" s="424"/>
      <c r="DS17" s="424"/>
    </row>
    <row r="18" spans="1:156" s="425" customFormat="1" ht="78.75">
      <c r="A18" s="396">
        <v>16</v>
      </c>
      <c r="B18" s="49">
        <v>202609</v>
      </c>
      <c r="C18" s="397"/>
      <c r="D18" s="397"/>
      <c r="E18" s="398"/>
      <c r="F18" s="399" t="s">
        <v>134</v>
      </c>
      <c r="G18" s="398" t="s">
        <v>135</v>
      </c>
      <c r="H18" s="400" t="s">
        <v>175</v>
      </c>
      <c r="I18" s="401" t="s">
        <v>176</v>
      </c>
      <c r="J18" s="663" t="s">
        <v>272</v>
      </c>
      <c r="K18" s="664" t="s">
        <v>273</v>
      </c>
      <c r="L18" s="401"/>
      <c r="M18" s="665" t="s">
        <v>274</v>
      </c>
      <c r="N18" s="666" t="s">
        <v>275</v>
      </c>
      <c r="O18" s="402" t="s">
        <v>142</v>
      </c>
      <c r="P18" s="402" t="s">
        <v>142</v>
      </c>
      <c r="Q18" s="667" t="s">
        <v>143</v>
      </c>
      <c r="R18" s="397" t="str">
        <f>VLOOKUP(Sheet_1_Table_1_137[[#This Row],[Learning Domain]],[3]List!$A$7:$B$12,2,0)</f>
        <v>CELD</v>
      </c>
      <c r="S18" s="404">
        <v>80</v>
      </c>
      <c r="T18" s="404">
        <v>0</v>
      </c>
      <c r="U18" s="404">
        <v>0</v>
      </c>
      <c r="V18" s="404">
        <v>0</v>
      </c>
      <c r="W18" s="404">
        <v>0</v>
      </c>
      <c r="X18" s="404">
        <v>20</v>
      </c>
      <c r="Y18" s="404">
        <v>0</v>
      </c>
      <c r="Z18" s="404">
        <v>0</v>
      </c>
      <c r="AA18" s="404">
        <v>0</v>
      </c>
      <c r="AB18" s="53">
        <f>SUM(Sheet_1_Table_1_137[[#This Row],[Leadership LS]:[Career Development  CR]])</f>
        <v>100</v>
      </c>
      <c r="AC18" s="399" t="s">
        <v>244</v>
      </c>
      <c r="AD18" s="404" t="s">
        <v>190</v>
      </c>
      <c r="AE18" s="404" t="s">
        <v>142</v>
      </c>
      <c r="AF18" s="404" t="s">
        <v>146</v>
      </c>
      <c r="AG18" s="404" t="s">
        <v>142</v>
      </c>
      <c r="AH18" s="404">
        <v>12</v>
      </c>
      <c r="AI18" s="404">
        <v>15</v>
      </c>
      <c r="AJ18" s="405">
        <f>Sheet_1_Table_1_137[[#This Row],[ILP Units Per Session]]*Sheet_1_Table_1_137[[#This Row],[Quota]]</f>
        <v>180</v>
      </c>
      <c r="AK18" s="406">
        <v>46356</v>
      </c>
      <c r="AL18" s="64">
        <f>WEEKDAY(Sheet_1_Table_1_137[[#This Row],[Lesson 1 
Date 
(DD-MMM-YYYY)]]
)</f>
        <v>2</v>
      </c>
      <c r="AM18" s="408">
        <v>0.375</v>
      </c>
      <c r="AN18" s="409">
        <v>0.75</v>
      </c>
      <c r="AO18" s="410"/>
      <c r="AP18" s="411"/>
      <c r="AQ18" s="407">
        <f>WEEKDAY(Sheet_1_Table_1_137[[#This Row],[Lesson 1 
Date 
(DD-MMM-YYYY)]])</f>
        <v>2</v>
      </c>
      <c r="AR18" s="408"/>
      <c r="AS18" s="409"/>
      <c r="AT18" s="409"/>
      <c r="AU18" s="406"/>
      <c r="AV18" s="407" t="e">
        <f>WEEKDAY([4]!Sheet_1_Table_1_13[[#This Row],[Lesson 3
Date 
(DD-MMM-YYYY)]])</f>
        <v>#REF!</v>
      </c>
      <c r="AW18" s="408"/>
      <c r="AX18" s="409"/>
      <c r="AY18" s="410"/>
      <c r="AZ18" s="411"/>
      <c r="BA18" s="407" t="e">
        <f>WEEKDAY([4]!Sheet_1_Table_1_13[[#This Row],[Lesson 4
Date 
(DD-MMM-YYYY)]])</f>
        <v>#REF!</v>
      </c>
      <c r="BB18" s="408"/>
      <c r="BC18" s="409"/>
      <c r="BD18" s="409"/>
      <c r="BE18" s="406"/>
      <c r="BF18" s="407" t="e">
        <f>WEEKDAY([4]!Sheet_1_Table_1_13[[#This Row],[Lesson 5
Date 
(DD-MMM-YYYY)]])</f>
        <v>#REF!</v>
      </c>
      <c r="BG18" s="408"/>
      <c r="BH18" s="409"/>
      <c r="BI18" s="410"/>
      <c r="BJ18" s="411"/>
      <c r="BK18" s="407" t="e">
        <f>WEEKDAY([4]!Sheet_1_Table_1_13[[#This Row],[Lesson 6
Date 
(DD-MMM-YYYY)]])</f>
        <v>#REF!</v>
      </c>
      <c r="BL18" s="408"/>
      <c r="BM18" s="409"/>
      <c r="BN18" s="409"/>
      <c r="BO18" s="412"/>
      <c r="BP18" s="413"/>
      <c r="BQ18" s="404"/>
      <c r="BR18" s="426"/>
      <c r="BS18" s="399"/>
      <c r="BT18" s="414"/>
      <c r="BU18" s="414"/>
      <c r="BV18" s="415"/>
      <c r="BW18" s="416"/>
      <c r="BX18" s="417"/>
      <c r="BY18" s="414"/>
      <c r="BZ18" s="414"/>
      <c r="CA18" s="414"/>
      <c r="CB18" s="418"/>
      <c r="CC18" s="418"/>
      <c r="CD18" s="417"/>
      <c r="CE18" s="669" t="s">
        <v>276</v>
      </c>
      <c r="CF18" s="427" t="s">
        <v>277</v>
      </c>
      <c r="CG18" s="670" t="s">
        <v>278</v>
      </c>
      <c r="CH18" s="428" t="s">
        <v>279</v>
      </c>
      <c r="CI18" s="671" t="s">
        <v>146</v>
      </c>
      <c r="CJ18" s="671" t="s">
        <v>142</v>
      </c>
      <c r="CK18" s="671" t="s">
        <v>142</v>
      </c>
      <c r="CL18" s="671" t="s">
        <v>142</v>
      </c>
      <c r="CM18" s="671" t="s">
        <v>146</v>
      </c>
      <c r="CN18" s="671" t="s">
        <v>142</v>
      </c>
      <c r="CO18" s="671" t="s">
        <v>142</v>
      </c>
      <c r="CP18" s="671" t="s">
        <v>142</v>
      </c>
      <c r="CQ18" s="671" t="s">
        <v>142</v>
      </c>
      <c r="CR18" s="671" t="s">
        <v>142</v>
      </c>
      <c r="CS18" s="671" t="s">
        <v>142</v>
      </c>
      <c r="CT18" s="671" t="s">
        <v>142</v>
      </c>
      <c r="CU18" s="671" t="s">
        <v>142</v>
      </c>
      <c r="CV18" s="671" t="s">
        <v>142</v>
      </c>
      <c r="CW18" s="671" t="s">
        <v>142</v>
      </c>
      <c r="CX18" s="671" t="s">
        <v>142</v>
      </c>
      <c r="CY18" s="671" t="s">
        <v>142</v>
      </c>
      <c r="CZ18" s="672" t="s">
        <v>142</v>
      </c>
      <c r="DA18" s="412" t="s">
        <v>154</v>
      </c>
      <c r="DB18" s="397" t="s">
        <v>155</v>
      </c>
      <c r="DC18" s="397" t="s">
        <v>156</v>
      </c>
      <c r="DD18" s="397" t="s">
        <v>146</v>
      </c>
      <c r="DE18" s="397" t="s">
        <v>157</v>
      </c>
      <c r="DF18" s="397" t="s">
        <v>146</v>
      </c>
      <c r="DG18" s="422"/>
      <c r="DH18" s="422"/>
      <c r="DI18" s="423"/>
      <c r="DJ18" s="422"/>
      <c r="DK18" s="404" t="s">
        <v>146</v>
      </c>
      <c r="DL18" s="404" t="s">
        <v>146</v>
      </c>
      <c r="DM18" s="404" t="s">
        <v>146</v>
      </c>
      <c r="DN18" s="424"/>
      <c r="DO18" s="424"/>
      <c r="DP18" s="424"/>
      <c r="DQ18" s="424"/>
      <c r="DR18" s="424"/>
      <c r="DS18" s="424"/>
    </row>
    <row r="19" spans="1:156" ht="80.099999999999994" customHeight="1">
      <c r="A19" s="48">
        <v>18</v>
      </c>
      <c r="B19" s="49">
        <v>202609</v>
      </c>
      <c r="C19" s="50" t="s">
        <v>280</v>
      </c>
      <c r="D19" s="50" t="s">
        <v>281</v>
      </c>
      <c r="E19" s="51">
        <v>6024</v>
      </c>
      <c r="F19" s="471" t="s">
        <v>134</v>
      </c>
      <c r="G19" s="472" t="s">
        <v>157</v>
      </c>
      <c r="H19" s="673" t="s">
        <v>282</v>
      </c>
      <c r="I19" s="657" t="s">
        <v>283</v>
      </c>
      <c r="J19" s="653" t="s">
        <v>282</v>
      </c>
      <c r="K19" s="640" t="s">
        <v>284</v>
      </c>
      <c r="L19" s="644"/>
      <c r="M19" s="640" t="s">
        <v>285</v>
      </c>
      <c r="N19" s="645" t="s">
        <v>2232</v>
      </c>
      <c r="O19" s="642" t="s">
        <v>146</v>
      </c>
      <c r="P19" s="674" t="s">
        <v>146</v>
      </c>
      <c r="Q19" s="662" t="s">
        <v>143</v>
      </c>
      <c r="R19" s="397" t="str">
        <f>VLOOKUP(Sheet_1_Table_1_137[[#This Row],[Learning Domain]],[3]List!$A$7:$B$12,2,0)</f>
        <v>CELD</v>
      </c>
      <c r="S19" s="644">
        <v>50</v>
      </c>
      <c r="T19" s="644">
        <v>0</v>
      </c>
      <c r="U19" s="644">
        <v>0</v>
      </c>
      <c r="V19" s="644">
        <v>0</v>
      </c>
      <c r="W19" s="644">
        <v>0</v>
      </c>
      <c r="X19" s="644">
        <v>0</v>
      </c>
      <c r="Y19" s="644">
        <v>0</v>
      </c>
      <c r="Z19" s="644">
        <v>50</v>
      </c>
      <c r="AA19" s="644">
        <v>0</v>
      </c>
      <c r="AB19" s="472">
        <v>100</v>
      </c>
      <c r="AC19" s="471" t="s">
        <v>199</v>
      </c>
      <c r="AD19" s="644" t="s">
        <v>190</v>
      </c>
      <c r="AE19" s="644" t="s">
        <v>146</v>
      </c>
      <c r="AF19" s="644" t="s">
        <v>146</v>
      </c>
      <c r="AG19" s="644" t="s">
        <v>142</v>
      </c>
      <c r="AH19" s="644">
        <v>12</v>
      </c>
      <c r="AI19" s="644">
        <v>60</v>
      </c>
      <c r="AJ19" s="675">
        <f>SUM(Sheet_1_Table_1_137[[#This Row],[ILP Units Per Session]]*Sheet_1_Table_1_137[[#This Row],[Quota]])</f>
        <v>720</v>
      </c>
      <c r="AK19" s="676">
        <v>46284</v>
      </c>
      <c r="AL19" s="64">
        <f>WEEKDAY(Sheet_1_Table_1_137[[#This Row],[Lesson 1 
Date 
(DD-MMM-YYYY)]]
)</f>
        <v>7</v>
      </c>
      <c r="AM19" s="678">
        <v>0.41666666666666669</v>
      </c>
      <c r="AN19" s="679">
        <v>0.70833333333333337</v>
      </c>
      <c r="AO19" s="680" t="s">
        <v>147</v>
      </c>
      <c r="AP19" s="681">
        <v>46285</v>
      </c>
      <c r="AQ19" s="677" t="s">
        <v>286</v>
      </c>
      <c r="AR19" s="678">
        <v>0.41666666666666669</v>
      </c>
      <c r="AS19" s="679">
        <v>0.70833333333333337</v>
      </c>
      <c r="AT19" s="680" t="s">
        <v>147</v>
      </c>
      <c r="AU19" s="676"/>
      <c r="AV19" s="677" t="e">
        <f>WEEKDAY([4]!Sheet_1_Table_1_13[[#This Row],[Lesson 3
Date 
(DD-MMM-YYYY)]])</f>
        <v>#REF!</v>
      </c>
      <c r="AW19" s="678"/>
      <c r="AX19" s="679"/>
      <c r="AY19" s="680"/>
      <c r="AZ19" s="681"/>
      <c r="BA19" s="677" t="e">
        <f>WEEKDAY([4]!Sheet_1_Table_1_13[[#This Row],[Lesson 4
Date 
(DD-MMM-YYYY)]])</f>
        <v>#REF!</v>
      </c>
      <c r="BB19" s="678"/>
      <c r="BC19" s="679"/>
      <c r="BD19" s="679"/>
      <c r="BE19" s="676"/>
      <c r="BF19" s="677" t="e">
        <f>WEEKDAY([4]!Sheet_1_Table_1_13[[#This Row],[Lesson 5
Date 
(DD-MMM-YYYY)]])</f>
        <v>#REF!</v>
      </c>
      <c r="BG19" s="678"/>
      <c r="BH19" s="679"/>
      <c r="BI19" s="680"/>
      <c r="BJ19" s="681"/>
      <c r="BK19" s="677" t="e">
        <f>WEEKDAY([4]!Sheet_1_Table_1_13[[#This Row],[Lesson 6
Date 
(DD-MMM-YYYY)]])</f>
        <v>#REF!</v>
      </c>
      <c r="BL19" s="678"/>
      <c r="BM19" s="679"/>
      <c r="BN19" s="679"/>
      <c r="BO19" s="471" t="s">
        <v>287</v>
      </c>
      <c r="BP19" s="643" t="s">
        <v>288</v>
      </c>
      <c r="BQ19" s="644" t="s">
        <v>289</v>
      </c>
      <c r="BR19" s="645" t="s">
        <v>290</v>
      </c>
      <c r="BS19" s="471" t="s">
        <v>291</v>
      </c>
      <c r="BT19" s="429" t="s">
        <v>292</v>
      </c>
      <c r="BU19" s="429" t="s">
        <v>293</v>
      </c>
      <c r="BV19" s="657" t="s">
        <v>294</v>
      </c>
      <c r="BW19" s="653"/>
      <c r="BX19" s="682"/>
      <c r="BY19" s="640"/>
      <c r="BZ19" s="640"/>
      <c r="CA19" s="640" t="s">
        <v>295</v>
      </c>
      <c r="CB19" s="662"/>
      <c r="CC19" s="662"/>
      <c r="CD19" s="682"/>
      <c r="CE19" s="653" t="s">
        <v>296</v>
      </c>
      <c r="CF19" s="430" t="s">
        <v>297</v>
      </c>
      <c r="CG19" s="640" t="s">
        <v>298</v>
      </c>
      <c r="CH19" s="645" t="s">
        <v>299</v>
      </c>
      <c r="CI19" s="471" t="s">
        <v>146</v>
      </c>
      <c r="CJ19" s="471" t="s">
        <v>142</v>
      </c>
      <c r="CK19" s="471" t="s">
        <v>142</v>
      </c>
      <c r="CL19" s="471" t="s">
        <v>142</v>
      </c>
      <c r="CM19" s="471" t="s">
        <v>146</v>
      </c>
      <c r="CN19" s="471" t="s">
        <v>142</v>
      </c>
      <c r="CO19" s="471" t="s">
        <v>142</v>
      </c>
      <c r="CP19" s="471" t="s">
        <v>142</v>
      </c>
      <c r="CQ19" s="471" t="s">
        <v>142</v>
      </c>
      <c r="CR19" s="471" t="s">
        <v>142</v>
      </c>
      <c r="CS19" s="471" t="s">
        <v>146</v>
      </c>
      <c r="CT19" s="471" t="s">
        <v>142</v>
      </c>
      <c r="CU19" s="471" t="s">
        <v>142</v>
      </c>
      <c r="CV19" s="471" t="s">
        <v>142</v>
      </c>
      <c r="CW19" s="471" t="s">
        <v>142</v>
      </c>
      <c r="CX19" s="471" t="s">
        <v>142</v>
      </c>
      <c r="CY19" s="471" t="s">
        <v>142</v>
      </c>
      <c r="CZ19" s="655" t="s">
        <v>142</v>
      </c>
      <c r="DA19" s="560" t="s">
        <v>154</v>
      </c>
      <c r="DB19" s="683" t="s">
        <v>155</v>
      </c>
      <c r="DC19" s="683" t="s">
        <v>156</v>
      </c>
      <c r="DD19" s="683" t="s">
        <v>146</v>
      </c>
      <c r="DE19" s="683" t="s">
        <v>157</v>
      </c>
      <c r="DF19" s="683" t="s">
        <v>146</v>
      </c>
      <c r="DG19" s="684"/>
      <c r="DH19" s="684"/>
      <c r="DI19" s="684"/>
      <c r="DJ19" s="684"/>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300</v>
      </c>
      <c r="D20" s="50" t="s">
        <v>204</v>
      </c>
      <c r="E20" s="51">
        <v>5821</v>
      </c>
      <c r="F20" s="52" t="s">
        <v>301</v>
      </c>
      <c r="G20" s="53"/>
      <c r="H20" s="97" t="s">
        <v>302</v>
      </c>
      <c r="I20" s="53" t="s">
        <v>303</v>
      </c>
      <c r="J20" s="60" t="s">
        <v>304</v>
      </c>
      <c r="K20" s="55" t="s">
        <v>305</v>
      </c>
      <c r="L20" s="55"/>
      <c r="M20" s="56" t="s">
        <v>306</v>
      </c>
      <c r="N20" s="753" t="s">
        <v>307</v>
      </c>
      <c r="O20" s="58" t="s">
        <v>146</v>
      </c>
      <c r="P20" s="59" t="s">
        <v>146</v>
      </c>
      <c r="Q20" s="60" t="s">
        <v>143</v>
      </c>
      <c r="R20" s="397" t="str">
        <f>VLOOKUP(Sheet_1_Table_1_137[[#This Row],[Learning Domain]],[3]List!$A$7:$B$12,2,0)</f>
        <v>CELD</v>
      </c>
      <c r="S20" s="55">
        <v>0</v>
      </c>
      <c r="T20" s="55">
        <v>0</v>
      </c>
      <c r="U20" s="55">
        <v>0</v>
      </c>
      <c r="V20" s="55">
        <v>30</v>
      </c>
      <c r="W20" s="55">
        <v>0</v>
      </c>
      <c r="X20" s="55">
        <v>0</v>
      </c>
      <c r="Y20" s="55">
        <v>70</v>
      </c>
      <c r="Z20" s="55">
        <v>0</v>
      </c>
      <c r="AA20" s="55">
        <v>0</v>
      </c>
      <c r="AB20" s="53" t="e">
        <f>SUM([5]!Sheet_1_Table_1_13[[#This Row],[Leadership LS]:[Career Development  CR]])</f>
        <v>#REF!</v>
      </c>
      <c r="AC20" s="52" t="s">
        <v>244</v>
      </c>
      <c r="AD20" s="55" t="s">
        <v>190</v>
      </c>
      <c r="AE20" s="55" t="s">
        <v>146</v>
      </c>
      <c r="AF20" s="55" t="s">
        <v>146</v>
      </c>
      <c r="AG20" s="55" t="s">
        <v>142</v>
      </c>
      <c r="AH20" s="369">
        <v>1.5</v>
      </c>
      <c r="AI20" s="55">
        <v>20</v>
      </c>
      <c r="AJ20" s="675">
        <f>SUM(Sheet_1_Table_1_137[[#This Row],[ILP Units Per Session]]*Sheet_1_Table_1_137[[#This Row],[Quota]])</f>
        <v>30</v>
      </c>
      <c r="AK20" s="375">
        <v>46330</v>
      </c>
      <c r="AL20" s="64">
        <f>WEEKDAY(Sheet_1_Table_1_137[[#This Row],[Lesson 1 
Date 
(DD-MMM-YYYY)]]
)</f>
        <v>4</v>
      </c>
      <c r="AM20" s="373">
        <v>0.60416666666666663</v>
      </c>
      <c r="AN20" s="374">
        <v>0.66666666666666663</v>
      </c>
      <c r="AO20" s="67" t="s">
        <v>308</v>
      </c>
      <c r="AP20" s="68"/>
      <c r="AQ20" s="64" t="e">
        <f>WEEKDAY([5]!Sheet_1_Table_1_13[[#This Row],[Lesson 2
Date 
(DD-MMM-YYYY)]])</f>
        <v>#REF!</v>
      </c>
      <c r="AR20" s="65"/>
      <c r="AS20" s="66"/>
      <c r="AT20" s="66"/>
      <c r="AU20" s="63"/>
      <c r="AV20" s="64" t="e">
        <f>WEEKDAY([4]!Sheet_1_Table_1_13[[#This Row],[Lesson 3
Date 
(DD-MMM-YYYY)]])</f>
        <v>#REF!</v>
      </c>
      <c r="AW20" s="65"/>
      <c r="AX20" s="66"/>
      <c r="AY20" s="67"/>
      <c r="AZ20" s="68"/>
      <c r="BA20" s="64" t="e">
        <f>WEEKDAY([4]!Sheet_1_Table_1_13[[#This Row],[Lesson 4
Date 
(DD-MMM-YYYY)]])</f>
        <v>#REF!</v>
      </c>
      <c r="BB20" s="65"/>
      <c r="BC20" s="66"/>
      <c r="BD20" s="66"/>
      <c r="BE20" s="63"/>
      <c r="BF20" s="64" t="e">
        <f>WEEKDAY([4]!Sheet_1_Table_1_13[[#This Row],[Lesson 5
Date 
(DD-MMM-YYYY)]])</f>
        <v>#REF!</v>
      </c>
      <c r="BG20" s="65"/>
      <c r="BH20" s="66"/>
      <c r="BI20" s="67"/>
      <c r="BJ20" s="68"/>
      <c r="BK20" s="64" t="e">
        <f>WEEKDAY([4]!Sheet_1_Table_1_13[[#This Row],[Lesson 6
Date 
(DD-MMM-YYYY)]])</f>
        <v>#REF!</v>
      </c>
      <c r="BL20" s="65"/>
      <c r="BM20" s="66"/>
      <c r="BN20" s="66"/>
      <c r="BO20" s="54"/>
      <c r="BP20" s="217"/>
      <c r="BQ20" s="55"/>
      <c r="BR20" s="217" t="s">
        <v>309</v>
      </c>
      <c r="BS20" s="52"/>
      <c r="BT20" s="56"/>
      <c r="BU20" s="56"/>
      <c r="BV20" s="70"/>
      <c r="BW20" s="60">
        <v>0</v>
      </c>
      <c r="BX20" s="71">
        <v>100</v>
      </c>
      <c r="BY20" s="754">
        <v>0.57638888888888884</v>
      </c>
      <c r="BZ20" s="755" t="s">
        <v>310</v>
      </c>
      <c r="CA20" s="56" t="s">
        <v>149</v>
      </c>
      <c r="CB20" s="72"/>
      <c r="CC20" s="72"/>
      <c r="CD20" s="71"/>
      <c r="CE20" s="222" t="s">
        <v>311</v>
      </c>
      <c r="CF20" s="474" t="s">
        <v>312</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313</v>
      </c>
      <c r="D21" s="50" t="s">
        <v>133</v>
      </c>
      <c r="E21" s="51">
        <v>5823</v>
      </c>
      <c r="F21" s="52" t="s">
        <v>314</v>
      </c>
      <c r="G21" s="53" t="s">
        <v>157</v>
      </c>
      <c r="H21" s="97" t="s">
        <v>302</v>
      </c>
      <c r="I21" s="53" t="s">
        <v>303</v>
      </c>
      <c r="J21" s="232" t="s">
        <v>315</v>
      </c>
      <c r="K21" s="770" t="s">
        <v>316</v>
      </c>
      <c r="L21" s="55">
        <v>1</v>
      </c>
      <c r="M21" s="56" t="s">
        <v>2227</v>
      </c>
      <c r="N21" s="70" t="s">
        <v>2228</v>
      </c>
      <c r="O21" s="178" t="s">
        <v>142</v>
      </c>
      <c r="P21" s="178" t="s">
        <v>142</v>
      </c>
      <c r="Q21" s="60" t="s">
        <v>143</v>
      </c>
      <c r="R21" s="397" t="str">
        <f>VLOOKUP(Sheet_1_Table_1_137[[#This Row],[Learning Domain]],[3]List!$A$7:$B$12,2,0)</f>
        <v>CELD</v>
      </c>
      <c r="S21" s="55">
        <v>0</v>
      </c>
      <c r="T21" s="55">
        <v>0</v>
      </c>
      <c r="U21" s="55">
        <v>0</v>
      </c>
      <c r="V21" s="55">
        <v>20</v>
      </c>
      <c r="W21" s="55">
        <v>40</v>
      </c>
      <c r="X21" s="55">
        <v>40</v>
      </c>
      <c r="Y21" s="55">
        <v>0</v>
      </c>
      <c r="Z21" s="55">
        <v>0</v>
      </c>
      <c r="AA21" s="55">
        <v>0</v>
      </c>
      <c r="AB21" s="53" t="e">
        <f>SUM([4]!Sheet_1_Table_1_13[[#This Row],[Leadership LS]:[Career Development  CR]])</f>
        <v>#REF!</v>
      </c>
      <c r="AC21" s="52" t="s">
        <v>144</v>
      </c>
      <c r="AD21" s="55" t="s">
        <v>190</v>
      </c>
      <c r="AE21" s="55" t="s">
        <v>146</v>
      </c>
      <c r="AF21" s="55" t="s">
        <v>142</v>
      </c>
      <c r="AG21" s="55" t="s">
        <v>142</v>
      </c>
      <c r="AH21" s="55">
        <v>1</v>
      </c>
      <c r="AI21" s="55">
        <v>100</v>
      </c>
      <c r="AJ21" s="675">
        <f>SUM(Sheet_1_Table_1_137[[#This Row],[ILP Units Per Session]]*Sheet_1_Table_1_137[[#This Row],[Quota]])</f>
        <v>100</v>
      </c>
      <c r="AK21" s="63">
        <v>46283</v>
      </c>
      <c r="AL21" s="64">
        <f>WEEKDAY(Sheet_1_Table_1_137[[#This Row],[Lesson 1 
Date 
(DD-MMM-YYYY)]]
)</f>
        <v>6</v>
      </c>
      <c r="AM21" s="186">
        <v>0.69791666666666663</v>
      </c>
      <c r="AN21" s="187">
        <v>0.73958333333333337</v>
      </c>
      <c r="AO21" s="67" t="s">
        <v>317</v>
      </c>
      <c r="AP21" s="68"/>
      <c r="AQ21" s="64" t="e">
        <f>WEEKDAY([4]!Sheet_1_Table_1_13[[#This Row],[Lesson 2
Date 
(DD-MMM-YYYY)]])</f>
        <v>#REF!</v>
      </c>
      <c r="AR21" s="65"/>
      <c r="AS21" s="66"/>
      <c r="AT21" s="66"/>
      <c r="AU21" s="63"/>
      <c r="AV21" s="64" t="e">
        <f>WEEKDAY([4]!Sheet_1_Table_1_13[[#This Row],[Lesson 3
Date 
(DD-MMM-YYYY)]])</f>
        <v>#REF!</v>
      </c>
      <c r="AW21" s="65"/>
      <c r="AX21" s="66"/>
      <c r="AY21" s="67"/>
      <c r="AZ21" s="68"/>
      <c r="BA21" s="64" t="e">
        <f>WEEKDAY([4]!Sheet_1_Table_1_13[[#This Row],[Lesson 4
Date 
(DD-MMM-YYYY)]])</f>
        <v>#REF!</v>
      </c>
      <c r="BB21" s="65"/>
      <c r="BC21" s="66"/>
      <c r="BD21" s="66"/>
      <c r="BE21" s="63"/>
      <c r="BF21" s="64" t="e">
        <f>WEEKDAY([4]!Sheet_1_Table_1_13[[#This Row],[Lesson 5
Date 
(DD-MMM-YYYY)]])</f>
        <v>#REF!</v>
      </c>
      <c r="BG21" s="65"/>
      <c r="BH21" s="66"/>
      <c r="BI21" s="67"/>
      <c r="BJ21" s="68"/>
      <c r="BK21" s="64" t="e">
        <f>WEEKDAY([4]!Sheet_1_Table_1_13[[#This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318</v>
      </c>
      <c r="CF21" s="71" t="s">
        <v>319</v>
      </c>
      <c r="CG21" s="56" t="s">
        <v>320</v>
      </c>
      <c r="CH21" s="57" t="s">
        <v>321</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313</v>
      </c>
      <c r="D22" s="205" t="s">
        <v>250</v>
      </c>
      <c r="E22" s="206">
        <v>5824</v>
      </c>
      <c r="F22" s="52" t="s">
        <v>314</v>
      </c>
      <c r="G22" s="53" t="s">
        <v>157</v>
      </c>
      <c r="H22" s="97" t="s">
        <v>302</v>
      </c>
      <c r="I22" s="53" t="s">
        <v>303</v>
      </c>
      <c r="J22" s="60" t="s">
        <v>315</v>
      </c>
      <c r="K22" s="69" t="s">
        <v>322</v>
      </c>
      <c r="L22" s="55">
        <v>2</v>
      </c>
      <c r="M22" s="56" t="s">
        <v>2227</v>
      </c>
      <c r="N22" s="70" t="s">
        <v>2228</v>
      </c>
      <c r="O22" s="55" t="s">
        <v>146</v>
      </c>
      <c r="P22" s="55" t="s">
        <v>146</v>
      </c>
      <c r="Q22" s="60" t="s">
        <v>143</v>
      </c>
      <c r="R22" s="397" t="str">
        <f>VLOOKUP(Sheet_1_Table_1_137[[#This Row],[Learning Domain]],[3]List!$A$7:$B$12,2,0)</f>
        <v>CELD</v>
      </c>
      <c r="S22" s="55">
        <v>0</v>
      </c>
      <c r="T22" s="55">
        <v>0</v>
      </c>
      <c r="U22" s="55">
        <v>0</v>
      </c>
      <c r="V22" s="55">
        <v>20</v>
      </c>
      <c r="W22" s="55">
        <v>40</v>
      </c>
      <c r="X22" s="55">
        <v>40</v>
      </c>
      <c r="Y22" s="55">
        <v>0</v>
      </c>
      <c r="Z22" s="55">
        <v>0</v>
      </c>
      <c r="AA22" s="55">
        <v>0</v>
      </c>
      <c r="AB22" s="53" t="e">
        <f>SUM([4]!Sheet_1_Table_1_13[[#This Row],[Leadership LS]:[Career Development  CR]])</f>
        <v>#REF!</v>
      </c>
      <c r="AC22" s="52" t="s">
        <v>144</v>
      </c>
      <c r="AD22" s="55" t="s">
        <v>190</v>
      </c>
      <c r="AE22" s="55" t="s">
        <v>146</v>
      </c>
      <c r="AF22" s="209" t="s">
        <v>142</v>
      </c>
      <c r="AG22" s="209" t="s">
        <v>142</v>
      </c>
      <c r="AH22" s="209">
        <v>1</v>
      </c>
      <c r="AI22" s="55">
        <v>90</v>
      </c>
      <c r="AJ22" s="675">
        <f>SUM(Sheet_1_Table_1_137[[#This Row],[ILP Units Per Session]]*Sheet_1_Table_1_137[[#This Row],[Quota]])</f>
        <v>90</v>
      </c>
      <c r="AK22" s="211">
        <v>46294</v>
      </c>
      <c r="AL22" s="64">
        <f>WEEKDAY(Sheet_1_Table_1_137[[#This Row],[Lesson 1 
Date 
(DD-MMM-YYYY)]]
)</f>
        <v>3</v>
      </c>
      <c r="AM22" s="186">
        <v>0.69791666666666663</v>
      </c>
      <c r="AN22" s="187">
        <v>0.73958333333333337</v>
      </c>
      <c r="AO22" s="215" t="s">
        <v>317</v>
      </c>
      <c r="AP22" s="68"/>
      <c r="AQ22" s="64" t="e">
        <f>WEEKDAY([4]!Sheet_1_Table_1_13[[#This Row],[Lesson 2
Date 
(DD-MMM-YYYY)]])</f>
        <v>#REF!</v>
      </c>
      <c r="AR22" s="65"/>
      <c r="AS22" s="66"/>
      <c r="AT22" s="66"/>
      <c r="AU22" s="211"/>
      <c r="AV22" s="165" t="e">
        <f>WEEKDAY([4]!Sheet_1_Table_1_13[[#This Row],[Lesson 3
Date 
(DD-MMM-YYYY)]])</f>
        <v>#REF!</v>
      </c>
      <c r="AW22" s="212"/>
      <c r="AX22" s="213"/>
      <c r="AY22" s="215"/>
      <c r="AZ22" s="68"/>
      <c r="BA22" s="64" t="e">
        <f>WEEKDAY([4]!Sheet_1_Table_1_13[[#This Row],[Lesson 4
Date 
(DD-MMM-YYYY)]])</f>
        <v>#REF!</v>
      </c>
      <c r="BB22" s="65"/>
      <c r="BC22" s="66"/>
      <c r="BD22" s="66"/>
      <c r="BE22" s="211"/>
      <c r="BF22" s="165" t="e">
        <f>WEEKDAY([4]!Sheet_1_Table_1_13[[#This Row],[Lesson 5
Date 
(DD-MMM-YYYY)]])</f>
        <v>#REF!</v>
      </c>
      <c r="BG22" s="212"/>
      <c r="BH22" s="213"/>
      <c r="BI22" s="215"/>
      <c r="BJ22" s="68"/>
      <c r="BK22" s="165" t="e">
        <f>WEEKDAY([4]!Sheet_1_Table_1_13[[#This Row],[Lesson 6
Date 
(DD-MMM-YYYY)]])</f>
        <v>#REF!</v>
      </c>
      <c r="BL22" s="212"/>
      <c r="BM22" s="213"/>
      <c r="BN22" s="213"/>
      <c r="BO22" s="216"/>
      <c r="BP22" s="217"/>
      <c r="BQ22" s="209"/>
      <c r="BR22" s="219"/>
      <c r="BS22" s="52"/>
      <c r="BT22" s="217"/>
      <c r="BU22" s="209"/>
      <c r="BV22" s="70"/>
      <c r="BW22" s="60"/>
      <c r="BX22" s="71"/>
      <c r="BY22" s="218" t="s">
        <v>149</v>
      </c>
      <c r="BZ22" s="218"/>
      <c r="CA22" s="218" t="s">
        <v>149</v>
      </c>
      <c r="CB22" s="220"/>
      <c r="CC22" s="220"/>
      <c r="CD22" s="221"/>
      <c r="CE22" s="60" t="s">
        <v>318</v>
      </c>
      <c r="CF22" s="71" t="s">
        <v>319</v>
      </c>
      <c r="CG22" s="56" t="s">
        <v>320</v>
      </c>
      <c r="CH22" s="57" t="s">
        <v>321</v>
      </c>
      <c r="CI22" s="223"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24"/>
      <c r="DH22" s="224"/>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313</v>
      </c>
      <c r="D23" s="50" t="s">
        <v>174</v>
      </c>
      <c r="E23" s="206">
        <v>5825</v>
      </c>
      <c r="F23" s="52" t="s">
        <v>314</v>
      </c>
      <c r="G23" s="53" t="s">
        <v>157</v>
      </c>
      <c r="H23" s="97" t="s">
        <v>302</v>
      </c>
      <c r="I23" s="53" t="s">
        <v>303</v>
      </c>
      <c r="J23" s="60" t="s">
        <v>315</v>
      </c>
      <c r="K23" s="69" t="s">
        <v>322</v>
      </c>
      <c r="L23" s="55">
        <v>3</v>
      </c>
      <c r="M23" s="56" t="s">
        <v>2227</v>
      </c>
      <c r="N23" s="70" t="s">
        <v>2228</v>
      </c>
      <c r="O23" s="55" t="s">
        <v>146</v>
      </c>
      <c r="P23" s="55" t="s">
        <v>146</v>
      </c>
      <c r="Q23" s="60" t="s">
        <v>143</v>
      </c>
      <c r="R23" s="397" t="str">
        <f>VLOOKUP(Sheet_1_Table_1_137[[#This Row],[Learning Domain]],[3]List!$A$7:$B$12,2,0)</f>
        <v>CELD</v>
      </c>
      <c r="S23" s="55">
        <v>0</v>
      </c>
      <c r="T23" s="55">
        <v>0</v>
      </c>
      <c r="U23" s="55">
        <v>0</v>
      </c>
      <c r="V23" s="55">
        <v>20</v>
      </c>
      <c r="W23" s="55">
        <v>40</v>
      </c>
      <c r="X23" s="55">
        <v>40</v>
      </c>
      <c r="Y23" s="55">
        <v>0</v>
      </c>
      <c r="Z23" s="55">
        <v>0</v>
      </c>
      <c r="AA23" s="55">
        <v>0</v>
      </c>
      <c r="AB23" s="53" t="e">
        <f>SUM([4]!Sheet_1_Table_1_13[[#This Row],[Leadership LS]:[Career Development  CR]])</f>
        <v>#REF!</v>
      </c>
      <c r="AC23" s="52" t="s">
        <v>144</v>
      </c>
      <c r="AD23" s="55" t="s">
        <v>190</v>
      </c>
      <c r="AE23" s="55" t="s">
        <v>146</v>
      </c>
      <c r="AF23" s="209" t="s">
        <v>142</v>
      </c>
      <c r="AG23" s="209" t="s">
        <v>142</v>
      </c>
      <c r="AH23" s="209">
        <v>1</v>
      </c>
      <c r="AI23" s="55">
        <v>100</v>
      </c>
      <c r="AJ23" s="675">
        <f>SUM(Sheet_1_Table_1_137[[#This Row],[ILP Units Per Session]]*Sheet_1_Table_1_137[[#This Row],[Quota]])</f>
        <v>100</v>
      </c>
      <c r="AK23" s="211">
        <v>46307</v>
      </c>
      <c r="AL23" s="64">
        <f>WEEKDAY(Sheet_1_Table_1_137[[#This Row],[Lesson 1 
Date 
(DD-MMM-YYYY)]]
)</f>
        <v>2</v>
      </c>
      <c r="AM23" s="186">
        <v>0.69791666666666663</v>
      </c>
      <c r="AN23" s="187">
        <v>0.73958333333333337</v>
      </c>
      <c r="AO23" s="215" t="s">
        <v>317</v>
      </c>
      <c r="AP23" s="68"/>
      <c r="AQ23" s="64" t="e">
        <f>WEEKDAY([4]!Sheet_1_Table_1_13[[#This Row],[Lesson 2
Date 
(DD-MMM-YYYY)]])</f>
        <v>#REF!</v>
      </c>
      <c r="AR23" s="65"/>
      <c r="AS23" s="66"/>
      <c r="AT23" s="66"/>
      <c r="AU23" s="211"/>
      <c r="AV23" s="165" t="e">
        <f>WEEKDAY([4]!Sheet_1_Table_1_13[[#This Row],[Lesson 3
Date 
(DD-MMM-YYYY)]])</f>
        <v>#REF!</v>
      </c>
      <c r="AW23" s="212"/>
      <c r="AX23" s="213"/>
      <c r="AY23" s="215"/>
      <c r="AZ23" s="68"/>
      <c r="BA23" s="64" t="e">
        <f>WEEKDAY([4]!Sheet_1_Table_1_13[[#This Row],[Lesson 4
Date 
(DD-MMM-YYYY)]])</f>
        <v>#REF!</v>
      </c>
      <c r="BB23" s="65"/>
      <c r="BC23" s="66"/>
      <c r="BD23" s="66"/>
      <c r="BE23" s="211"/>
      <c r="BF23" s="165" t="e">
        <f>WEEKDAY([4]!Sheet_1_Table_1_13[[#This Row],[Lesson 5
Date 
(DD-MMM-YYYY)]])</f>
        <v>#REF!</v>
      </c>
      <c r="BG23" s="212"/>
      <c r="BH23" s="213"/>
      <c r="BI23" s="215"/>
      <c r="BJ23" s="68"/>
      <c r="BK23" s="165" t="e">
        <f>WEEKDAY([4]!Sheet_1_Table_1_13[[#This Row],[Lesson 6
Date 
(DD-MMM-YYYY)]])</f>
        <v>#REF!</v>
      </c>
      <c r="BL23" s="212"/>
      <c r="BM23" s="213"/>
      <c r="BN23" s="213"/>
      <c r="BO23" s="216"/>
      <c r="BP23" s="217"/>
      <c r="BQ23" s="209"/>
      <c r="BR23" s="219"/>
      <c r="BS23" s="52"/>
      <c r="BT23" s="217"/>
      <c r="BU23" s="209"/>
      <c r="BV23" s="70"/>
      <c r="BW23" s="60"/>
      <c r="BX23" s="71"/>
      <c r="BY23" s="218" t="s">
        <v>149</v>
      </c>
      <c r="BZ23" s="218"/>
      <c r="CA23" s="218" t="s">
        <v>149</v>
      </c>
      <c r="CB23" s="220"/>
      <c r="CC23" s="220"/>
      <c r="CD23" s="221"/>
      <c r="CE23" s="60" t="s">
        <v>318</v>
      </c>
      <c r="CF23" s="71" t="s">
        <v>319</v>
      </c>
      <c r="CG23" s="56" t="s">
        <v>320</v>
      </c>
      <c r="CH23" s="301" t="s">
        <v>321</v>
      </c>
      <c r="CI23" s="223"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24"/>
      <c r="DH23" s="224"/>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323</v>
      </c>
      <c r="D24" s="49" t="s">
        <v>174</v>
      </c>
      <c r="E24" s="49">
        <v>6037</v>
      </c>
      <c r="F24" s="52" t="s">
        <v>324</v>
      </c>
      <c r="G24" s="53"/>
      <c r="H24" s="97"/>
      <c r="I24" s="341"/>
      <c r="J24" s="60" t="s">
        <v>325</v>
      </c>
      <c r="K24" s="638" t="s">
        <v>326</v>
      </c>
      <c r="L24" s="341"/>
      <c r="M24" s="56" t="s">
        <v>327</v>
      </c>
      <c r="N24" s="57" t="s">
        <v>328</v>
      </c>
      <c r="O24" s="55" t="s">
        <v>146</v>
      </c>
      <c r="P24" s="55" t="s">
        <v>146</v>
      </c>
      <c r="Q24" s="60" t="s">
        <v>143</v>
      </c>
      <c r="R24" s="397" t="str">
        <f>VLOOKUP(Sheet_1_Table_1_137[[#This Row],[Learning Domain]],[3]List!$A$7:$B$12,2,0)</f>
        <v>CELD</v>
      </c>
      <c r="S24" s="55">
        <v>0</v>
      </c>
      <c r="T24" s="55">
        <v>0</v>
      </c>
      <c r="U24" s="55">
        <v>0</v>
      </c>
      <c r="V24" s="55">
        <v>10</v>
      </c>
      <c r="W24" s="55">
        <v>0</v>
      </c>
      <c r="X24" s="55">
        <v>0</v>
      </c>
      <c r="Y24" s="55">
        <v>90</v>
      </c>
      <c r="Z24" s="55">
        <v>0</v>
      </c>
      <c r="AA24" s="55">
        <v>0</v>
      </c>
      <c r="AB24" s="781">
        <v>100</v>
      </c>
      <c r="AC24" s="52" t="s">
        <v>144</v>
      </c>
      <c r="AD24" s="52" t="s">
        <v>329</v>
      </c>
      <c r="AE24" s="55" t="s">
        <v>142</v>
      </c>
      <c r="AF24" s="55" t="s">
        <v>146</v>
      </c>
      <c r="AG24" s="55" t="s">
        <v>142</v>
      </c>
      <c r="AH24" s="55">
        <v>2</v>
      </c>
      <c r="AI24" s="55">
        <v>40</v>
      </c>
      <c r="AJ24" s="675">
        <f>SUM(Sheet_1_Table_1_137[[#This Row],[ILP Units Per Session]]*Sheet_1_Table_1_137[[#This Row],[Quota]])</f>
        <v>80</v>
      </c>
      <c r="AK24" s="211">
        <v>46324</v>
      </c>
      <c r="AL24" s="64">
        <f>WEEKDAY(Sheet_1_Table_1_137[[#This Row],[Lesson 1 
Date 
(DD-MMM-YYYY)]]
)</f>
        <v>5</v>
      </c>
      <c r="AM24" s="678">
        <v>0.6875</v>
      </c>
      <c r="AN24" s="678">
        <v>0.77083333333333337</v>
      </c>
      <c r="AO24" s="678" t="s">
        <v>263</v>
      </c>
      <c r="AP24" s="68"/>
      <c r="AQ24" s="64" t="e">
        <f>WEEKDAY([4]!Sheet_1_Table_1_13[[#This Row],[Lesson 2
Date 
(DD-MMM-YYYY)]])</f>
        <v>#REF!</v>
      </c>
      <c r="AR24" s="65"/>
      <c r="AS24" s="66"/>
      <c r="AT24" s="66"/>
      <c r="AU24" s="211"/>
      <c r="AV24" s="165" t="e">
        <f>WEEKDAY([4]!Sheet_1_Table_1_13[[#This Row],[Lesson 3
Date 
(DD-MMM-YYYY)]])</f>
        <v>#REF!</v>
      </c>
      <c r="AW24" s="212"/>
      <c r="AX24" s="213"/>
      <c r="AY24" s="215"/>
      <c r="AZ24" s="68"/>
      <c r="BA24" s="64" t="e">
        <f>WEEKDAY([4]!Sheet_1_Table_1_13[[#This Row],[Lesson 4
Date 
(DD-MMM-YYYY)]])</f>
        <v>#REF!</v>
      </c>
      <c r="BB24" s="65"/>
      <c r="BC24" s="66"/>
      <c r="BD24" s="66"/>
      <c r="BE24" s="211"/>
      <c r="BF24" s="165" t="e">
        <f>WEEKDAY([4]!Sheet_1_Table_1_13[[#This Row],[Lesson 5
Date 
(DD-MMM-YYYY)]])</f>
        <v>#REF!</v>
      </c>
      <c r="BG24" s="212"/>
      <c r="BH24" s="213"/>
      <c r="BI24" s="215"/>
      <c r="BJ24" s="68"/>
      <c r="BK24" s="165" t="e">
        <f>WEEKDAY([4]!Sheet_1_Table_1_13[[#This Row],[Lesson 6
Date 
(DD-MMM-YYYY)]])</f>
        <v>#REF!</v>
      </c>
      <c r="BL24" s="212"/>
      <c r="BM24" s="213"/>
      <c r="BN24" s="213"/>
      <c r="BO24" s="216" t="s">
        <v>291</v>
      </c>
      <c r="BP24" s="217" t="s">
        <v>330</v>
      </c>
      <c r="BQ24" s="209" t="s">
        <v>165</v>
      </c>
      <c r="BR24" s="219" t="s">
        <v>331</v>
      </c>
      <c r="BS24" s="52" t="s">
        <v>291</v>
      </c>
      <c r="BT24" s="217" t="s">
        <v>332</v>
      </c>
      <c r="BU24" s="209" t="s">
        <v>333</v>
      </c>
      <c r="BV24" s="70" t="s">
        <v>334</v>
      </c>
      <c r="BW24" s="60">
        <v>0</v>
      </c>
      <c r="BX24" s="71">
        <v>0</v>
      </c>
      <c r="BY24" s="218"/>
      <c r="BZ24" s="218"/>
      <c r="CA24" s="218" t="s">
        <v>335</v>
      </c>
      <c r="CB24" s="220" t="s">
        <v>336</v>
      </c>
      <c r="CC24" s="220" t="s">
        <v>337</v>
      </c>
      <c r="CD24" s="72">
        <v>26167414</v>
      </c>
      <c r="CE24" s="60" t="s">
        <v>338</v>
      </c>
      <c r="CF24" s="72" t="s">
        <v>339</v>
      </c>
      <c r="CG24" s="56" t="s">
        <v>340</v>
      </c>
      <c r="CH24" s="57" t="s">
        <v>341</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2159</v>
      </c>
      <c r="D25" s="50" t="s">
        <v>133</v>
      </c>
      <c r="E25" s="51">
        <v>5671</v>
      </c>
      <c r="F25" s="52" t="s">
        <v>134</v>
      </c>
      <c r="G25" s="53" t="s">
        <v>1489</v>
      </c>
      <c r="H25" s="80"/>
      <c r="I25" s="300" t="s">
        <v>2160</v>
      </c>
      <c r="J25" s="222"/>
      <c r="K25" s="55" t="s">
        <v>2161</v>
      </c>
      <c r="L25" s="55"/>
      <c r="M25" s="56" t="s">
        <v>2162</v>
      </c>
      <c r="N25" s="219" t="s">
        <v>2163</v>
      </c>
      <c r="O25" s="162" t="s">
        <v>142</v>
      </c>
      <c r="P25" s="460" t="s">
        <v>142</v>
      </c>
      <c r="Q25" s="222" t="s">
        <v>143</v>
      </c>
      <c r="R25" s="397" t="str">
        <f>VLOOKUP(Sheet_1_Table_1_137[[#This Row],[Learning Domain]],[3]List!$A$7:$B$12,2,0)</f>
        <v>CELD</v>
      </c>
      <c r="S25" s="55">
        <v>0</v>
      </c>
      <c r="T25" s="55">
        <v>0</v>
      </c>
      <c r="U25" s="55">
        <v>0</v>
      </c>
      <c r="V25" s="55">
        <v>0</v>
      </c>
      <c r="W25" s="55">
        <v>0</v>
      </c>
      <c r="X25" s="55">
        <v>100</v>
      </c>
      <c r="Y25" s="55">
        <v>0</v>
      </c>
      <c r="Z25" s="55">
        <v>0</v>
      </c>
      <c r="AA25" s="55">
        <v>0</v>
      </c>
      <c r="AB25" s="53">
        <v>100</v>
      </c>
      <c r="AC25" s="52" t="s">
        <v>244</v>
      </c>
      <c r="AD25" s="209" t="s">
        <v>190</v>
      </c>
      <c r="AE25" s="209" t="s">
        <v>146</v>
      </c>
      <c r="AF25" s="209" t="s">
        <v>142</v>
      </c>
      <c r="AG25" s="209" t="s">
        <v>142</v>
      </c>
      <c r="AH25" s="209">
        <v>2</v>
      </c>
      <c r="AI25" s="55">
        <v>15</v>
      </c>
      <c r="AJ25" s="210">
        <v>30</v>
      </c>
      <c r="AK25" s="211">
        <v>46270</v>
      </c>
      <c r="AL25" s="64">
        <f>WEEKDAY(Sheet_1_Table_1_137[[#This Row],[Lesson 1 
Date 
(DD-MMM-YYYY)]]
)</f>
        <v>7</v>
      </c>
      <c r="AM25" s="212">
        <v>0.4375</v>
      </c>
      <c r="AN25" s="213">
        <v>0.52083333333333337</v>
      </c>
      <c r="AO25" s="215"/>
      <c r="AP25" s="68"/>
      <c r="AQ25" s="64">
        <v>7</v>
      </c>
      <c r="AR25" s="65"/>
      <c r="AS25" s="66"/>
      <c r="AT25" s="66"/>
      <c r="AU25" s="211"/>
      <c r="AV25" s="165">
        <v>7</v>
      </c>
      <c r="AW25" s="212"/>
      <c r="AX25" s="213"/>
      <c r="AY25" s="215"/>
      <c r="AZ25" s="68"/>
      <c r="BA25" s="64">
        <v>7</v>
      </c>
      <c r="BB25" s="65"/>
      <c r="BC25" s="66"/>
      <c r="BD25" s="66"/>
      <c r="BE25" s="211"/>
      <c r="BF25" s="165">
        <v>7</v>
      </c>
      <c r="BG25" s="212"/>
      <c r="BH25" s="213"/>
      <c r="BI25" s="215"/>
      <c r="BJ25" s="68"/>
      <c r="BK25" s="165">
        <v>7</v>
      </c>
      <c r="BL25" s="212"/>
      <c r="BM25" s="213"/>
      <c r="BN25" s="213"/>
      <c r="BO25" s="216"/>
      <c r="BQ25" s="209"/>
      <c r="BR25" s="217" t="s">
        <v>2164</v>
      </c>
      <c r="BS25" s="52"/>
      <c r="BT25" s="218"/>
      <c r="BU25" s="218"/>
      <c r="BV25" s="70"/>
      <c r="BW25" s="60"/>
      <c r="BX25" s="784">
        <v>100</v>
      </c>
      <c r="BY25" s="785">
        <v>0.40625</v>
      </c>
      <c r="BZ25" s="218" t="s">
        <v>1577</v>
      </c>
      <c r="CA25" s="218" t="s">
        <v>149</v>
      </c>
      <c r="CB25" s="220"/>
      <c r="CC25" s="220"/>
      <c r="CD25" s="221"/>
      <c r="CE25" s="222" t="s">
        <v>1536</v>
      </c>
      <c r="CF25" s="221" t="s">
        <v>1537</v>
      </c>
      <c r="CG25" s="56" t="s">
        <v>2165</v>
      </c>
      <c r="CH25" s="57" t="s">
        <v>2166</v>
      </c>
      <c r="CI25" s="223"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205" t="s">
        <v>2167</v>
      </c>
      <c r="D26" s="50" t="s">
        <v>133</v>
      </c>
      <c r="E26" s="206">
        <v>5672</v>
      </c>
      <c r="F26" s="52" t="s">
        <v>134</v>
      </c>
      <c r="G26" s="53" t="s">
        <v>1489</v>
      </c>
      <c r="H26" s="80"/>
      <c r="I26" s="300" t="s">
        <v>2160</v>
      </c>
      <c r="J26" s="222"/>
      <c r="K26" s="55" t="s">
        <v>2168</v>
      </c>
      <c r="L26" s="55"/>
      <c r="M26" s="56" t="s">
        <v>2162</v>
      </c>
      <c r="N26" s="219" t="s">
        <v>2163</v>
      </c>
      <c r="O26" s="162" t="s">
        <v>142</v>
      </c>
      <c r="P26" s="460" t="s">
        <v>142</v>
      </c>
      <c r="Q26" s="222" t="s">
        <v>143</v>
      </c>
      <c r="R26" s="397" t="str">
        <f>VLOOKUP(Sheet_1_Table_1_137[[#This Row],[Learning Domain]],[3]List!$A$7:$B$12,2,0)</f>
        <v>CELD</v>
      </c>
      <c r="S26" s="55">
        <v>0</v>
      </c>
      <c r="T26" s="55">
        <v>0</v>
      </c>
      <c r="U26" s="55">
        <v>0</v>
      </c>
      <c r="V26" s="55">
        <v>0</v>
      </c>
      <c r="W26" s="55">
        <v>0</v>
      </c>
      <c r="X26" s="55">
        <v>100</v>
      </c>
      <c r="Y26" s="55">
        <v>0</v>
      </c>
      <c r="Z26" s="55">
        <v>0</v>
      </c>
      <c r="AA26" s="55">
        <v>0</v>
      </c>
      <c r="AB26" s="53">
        <v>100</v>
      </c>
      <c r="AC26" s="52" t="s">
        <v>244</v>
      </c>
      <c r="AD26" s="209" t="s">
        <v>190</v>
      </c>
      <c r="AE26" s="209" t="s">
        <v>146</v>
      </c>
      <c r="AF26" s="209" t="s">
        <v>142</v>
      </c>
      <c r="AG26" s="209" t="s">
        <v>142</v>
      </c>
      <c r="AH26" s="209">
        <v>2</v>
      </c>
      <c r="AI26" s="55">
        <v>15</v>
      </c>
      <c r="AJ26" s="210">
        <v>30</v>
      </c>
      <c r="AK26" s="211">
        <v>46270</v>
      </c>
      <c r="AL26" s="64">
        <f>WEEKDAY(Sheet_1_Table_1_137[[#This Row],[Lesson 1 
Date 
(DD-MMM-YYYY)]]
)</f>
        <v>7</v>
      </c>
      <c r="AM26" s="212">
        <v>0.60416666666666663</v>
      </c>
      <c r="AN26" s="213">
        <v>0.6875</v>
      </c>
      <c r="AO26" s="215"/>
      <c r="AP26" s="68"/>
      <c r="AQ26" s="64">
        <v>7</v>
      </c>
      <c r="AR26" s="65"/>
      <c r="AS26" s="66"/>
      <c r="AT26" s="66"/>
      <c r="AU26" s="211"/>
      <c r="AV26" s="165">
        <v>7</v>
      </c>
      <c r="AW26" s="212"/>
      <c r="AX26" s="213"/>
      <c r="AY26" s="215"/>
      <c r="AZ26" s="68"/>
      <c r="BA26" s="64">
        <v>7</v>
      </c>
      <c r="BB26" s="65"/>
      <c r="BC26" s="66"/>
      <c r="BD26" s="66"/>
      <c r="BE26" s="211"/>
      <c r="BF26" s="165">
        <v>7</v>
      </c>
      <c r="BG26" s="212"/>
      <c r="BH26" s="213"/>
      <c r="BI26" s="215"/>
      <c r="BJ26" s="68"/>
      <c r="BK26" s="165">
        <v>7</v>
      </c>
      <c r="BL26" s="212"/>
      <c r="BM26" s="213"/>
      <c r="BN26" s="213"/>
      <c r="BO26" s="216"/>
      <c r="BQ26" s="209"/>
      <c r="BR26" s="217" t="s">
        <v>2164</v>
      </c>
      <c r="BS26" s="52"/>
      <c r="BT26" s="217"/>
      <c r="BU26" s="209"/>
      <c r="BV26" s="70"/>
      <c r="BW26" s="60"/>
      <c r="BX26" s="784">
        <v>100</v>
      </c>
      <c r="BY26" s="785">
        <v>0.57291666666666663</v>
      </c>
      <c r="BZ26" s="218" t="s">
        <v>1577</v>
      </c>
      <c r="CA26" s="218" t="s">
        <v>149</v>
      </c>
      <c r="CB26" s="220"/>
      <c r="CC26" s="220"/>
      <c r="CD26" s="221"/>
      <c r="CE26" s="222" t="s">
        <v>1536</v>
      </c>
      <c r="CF26" s="221" t="s">
        <v>1537</v>
      </c>
      <c r="CG26" s="56" t="s">
        <v>2165</v>
      </c>
      <c r="CH26" s="57" t="s">
        <v>2166</v>
      </c>
      <c r="CI26" s="223"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2169</v>
      </c>
      <c r="D27" s="50" t="s">
        <v>133</v>
      </c>
      <c r="E27" s="206">
        <v>5673</v>
      </c>
      <c r="F27" s="52" t="s">
        <v>134</v>
      </c>
      <c r="G27" s="53" t="s">
        <v>1489</v>
      </c>
      <c r="H27" s="80"/>
      <c r="I27" s="300" t="s">
        <v>2160</v>
      </c>
      <c r="J27" s="60"/>
      <c r="K27" s="55" t="s">
        <v>2170</v>
      </c>
      <c r="L27" s="55"/>
      <c r="M27" s="56" t="s">
        <v>2171</v>
      </c>
      <c r="N27" s="57" t="s">
        <v>2172</v>
      </c>
      <c r="O27" s="181" t="s">
        <v>142</v>
      </c>
      <c r="P27" s="59" t="s">
        <v>142</v>
      </c>
      <c r="Q27" s="60" t="s">
        <v>143</v>
      </c>
      <c r="R27" s="397" t="str">
        <f>VLOOKUP(Sheet_1_Table_1_137[[#This Row],[Learning Domain]],[3]List!$A$7:$B$12,2,0)</f>
        <v>CELD</v>
      </c>
      <c r="S27" s="55">
        <v>0</v>
      </c>
      <c r="T27" s="55">
        <v>0</v>
      </c>
      <c r="U27" s="55">
        <v>0</v>
      </c>
      <c r="V27" s="55">
        <v>0</v>
      </c>
      <c r="W27" s="55">
        <v>0</v>
      </c>
      <c r="X27" s="55">
        <v>100</v>
      </c>
      <c r="Y27" s="55">
        <v>0</v>
      </c>
      <c r="Z27" s="55">
        <v>0</v>
      </c>
      <c r="AA27" s="55">
        <v>0</v>
      </c>
      <c r="AB27" s="53">
        <v>100</v>
      </c>
      <c r="AC27" s="52" t="s">
        <v>244</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2173</v>
      </c>
      <c r="BS27" s="52"/>
      <c r="BT27" s="69"/>
      <c r="BU27" s="55"/>
      <c r="BV27" s="70"/>
      <c r="BW27" s="60"/>
      <c r="BX27" s="204">
        <v>100</v>
      </c>
      <c r="BY27" s="447">
        <v>0.375</v>
      </c>
      <c r="BZ27" s="56" t="s">
        <v>1577</v>
      </c>
      <c r="CA27" s="56" t="s">
        <v>149</v>
      </c>
      <c r="CB27" s="72"/>
      <c r="CC27" s="72"/>
      <c r="CD27" s="71"/>
      <c r="CE27" s="60" t="s">
        <v>1536</v>
      </c>
      <c r="CF27" s="71" t="s">
        <v>1537</v>
      </c>
      <c r="CG27" s="56" t="s">
        <v>2165</v>
      </c>
      <c r="CH27" s="57" t="s">
        <v>2166</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2174</v>
      </c>
      <c r="D28" s="50" t="s">
        <v>133</v>
      </c>
      <c r="E28" s="51">
        <v>5670</v>
      </c>
      <c r="F28" s="52" t="s">
        <v>134</v>
      </c>
      <c r="G28" s="53" t="s">
        <v>1489</v>
      </c>
      <c r="H28" s="80"/>
      <c r="I28" s="300" t="s">
        <v>2160</v>
      </c>
      <c r="J28" s="60"/>
      <c r="K28" s="55" t="s">
        <v>2175</v>
      </c>
      <c r="L28" s="55"/>
      <c r="M28" s="56" t="s">
        <v>2176</v>
      </c>
      <c r="N28" s="57" t="s">
        <v>2177</v>
      </c>
      <c r="O28" s="181" t="s">
        <v>142</v>
      </c>
      <c r="P28" s="59" t="s">
        <v>142</v>
      </c>
      <c r="Q28" s="60" t="s">
        <v>143</v>
      </c>
      <c r="R28" s="397" t="str">
        <f>VLOOKUP(Sheet_1_Table_1_137[[#This Row],[Learning Domain]],[3]List!$A$7:$B$12,2,0)</f>
        <v>CELD</v>
      </c>
      <c r="S28" s="55">
        <v>0</v>
      </c>
      <c r="T28" s="55">
        <v>0</v>
      </c>
      <c r="U28" s="55">
        <v>0</v>
      </c>
      <c r="V28" s="55">
        <v>0</v>
      </c>
      <c r="W28" s="55">
        <v>0</v>
      </c>
      <c r="X28" s="55">
        <v>100</v>
      </c>
      <c r="Y28" s="55">
        <v>0</v>
      </c>
      <c r="Z28" s="55">
        <v>0</v>
      </c>
      <c r="AA28" s="55">
        <v>0</v>
      </c>
      <c r="AB28" s="53">
        <v>100</v>
      </c>
      <c r="AC28" s="52" t="s">
        <v>244</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2178</v>
      </c>
      <c r="BS28" s="52"/>
      <c r="BT28" s="56"/>
      <c r="BU28" s="56"/>
      <c r="BV28" s="70"/>
      <c r="BW28" s="60"/>
      <c r="BX28" s="204">
        <v>100</v>
      </c>
      <c r="BY28" s="447">
        <v>0.38541666666666669</v>
      </c>
      <c r="BZ28" s="56" t="s">
        <v>1577</v>
      </c>
      <c r="CA28" s="56" t="s">
        <v>184</v>
      </c>
      <c r="CB28" s="72"/>
      <c r="CC28" s="72"/>
      <c r="CD28" s="71"/>
      <c r="CE28" s="60" t="s">
        <v>1536</v>
      </c>
      <c r="CF28" s="71" t="s">
        <v>1537</v>
      </c>
      <c r="CG28" s="56" t="s">
        <v>2165</v>
      </c>
      <c r="CH28" s="57" t="s">
        <v>2166</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2179</v>
      </c>
      <c r="D29" s="50" t="s">
        <v>133</v>
      </c>
      <c r="E29" s="51">
        <v>5674</v>
      </c>
      <c r="F29" s="52" t="s">
        <v>134</v>
      </c>
      <c r="G29" s="53" t="s">
        <v>1489</v>
      </c>
      <c r="H29" s="80"/>
      <c r="I29" s="300" t="s">
        <v>2160</v>
      </c>
      <c r="J29" s="60"/>
      <c r="K29" s="55" t="s">
        <v>2180</v>
      </c>
      <c r="L29" s="55"/>
      <c r="M29" s="56" t="s">
        <v>2181</v>
      </c>
      <c r="N29" s="57" t="s">
        <v>2182</v>
      </c>
      <c r="O29" s="181" t="s">
        <v>142</v>
      </c>
      <c r="P29" s="59" t="s">
        <v>142</v>
      </c>
      <c r="Q29" s="60" t="s">
        <v>143</v>
      </c>
      <c r="R29" s="397" t="str">
        <f>VLOOKUP(Sheet_1_Table_1_137[[#This Row],[Learning Domain]],[3]List!$A$7:$B$12,2,0)</f>
        <v>CELD</v>
      </c>
      <c r="S29" s="55">
        <v>0</v>
      </c>
      <c r="T29" s="55">
        <v>0</v>
      </c>
      <c r="U29" s="55">
        <v>0</v>
      </c>
      <c r="V29" s="55">
        <v>0</v>
      </c>
      <c r="W29" s="55">
        <v>0</v>
      </c>
      <c r="X29" s="55">
        <v>100</v>
      </c>
      <c r="Y29" s="55">
        <v>0</v>
      </c>
      <c r="Z29" s="55">
        <v>0</v>
      </c>
      <c r="AA29" s="55">
        <v>0</v>
      </c>
      <c r="AB29" s="53">
        <v>100</v>
      </c>
      <c r="AC29" s="52" t="s">
        <v>244</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2183</v>
      </c>
      <c r="BS29" s="52"/>
      <c r="BT29" s="56"/>
      <c r="BU29" s="56"/>
      <c r="BV29" s="70"/>
      <c r="BW29" s="60"/>
      <c r="BX29" s="204">
        <v>100</v>
      </c>
      <c r="BY29" s="447">
        <v>0.38541666666666669</v>
      </c>
      <c r="BZ29" s="56" t="s">
        <v>1577</v>
      </c>
      <c r="CA29" s="56"/>
      <c r="CB29" s="72"/>
      <c r="CC29" s="72"/>
      <c r="CD29" s="71"/>
      <c r="CE29" s="60" t="s">
        <v>1536</v>
      </c>
      <c r="CF29" s="71" t="s">
        <v>1537</v>
      </c>
      <c r="CG29" s="56" t="s">
        <v>2165</v>
      </c>
      <c r="CH29" s="57" t="s">
        <v>2166</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2184</v>
      </c>
      <c r="D30" s="50" t="s">
        <v>133</v>
      </c>
      <c r="E30" s="51">
        <v>5675</v>
      </c>
      <c r="F30" s="52" t="s">
        <v>134</v>
      </c>
      <c r="G30" s="53" t="s">
        <v>1489</v>
      </c>
      <c r="H30" s="80"/>
      <c r="I30" s="300" t="s">
        <v>2160</v>
      </c>
      <c r="J30" s="60"/>
      <c r="K30" s="56" t="s">
        <v>2185</v>
      </c>
      <c r="L30" s="55"/>
      <c r="M30" s="56" t="s">
        <v>2186</v>
      </c>
      <c r="N30" s="57" t="s">
        <v>2187</v>
      </c>
      <c r="O30" s="181" t="s">
        <v>142</v>
      </c>
      <c r="P30" s="59" t="s">
        <v>142</v>
      </c>
      <c r="Q30" s="60" t="s">
        <v>143</v>
      </c>
      <c r="R30" s="397" t="str">
        <f>VLOOKUP(Sheet_1_Table_1_137[[#This Row],[Learning Domain]],[3]List!$A$7:$B$12,2,0)</f>
        <v>CELD</v>
      </c>
      <c r="S30" s="55">
        <v>0</v>
      </c>
      <c r="T30" s="55">
        <v>0</v>
      </c>
      <c r="U30" s="55">
        <v>0</v>
      </c>
      <c r="V30" s="55">
        <v>0</v>
      </c>
      <c r="W30" s="55">
        <v>0</v>
      </c>
      <c r="X30" s="55">
        <v>100</v>
      </c>
      <c r="Y30" s="55">
        <v>0</v>
      </c>
      <c r="Z30" s="55">
        <v>0</v>
      </c>
      <c r="AA30" s="55">
        <v>0</v>
      </c>
      <c r="AB30" s="53">
        <v>100</v>
      </c>
      <c r="AC30" s="52" t="s">
        <v>244</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2178</v>
      </c>
      <c r="BS30" s="52"/>
      <c r="BT30" s="56"/>
      <c r="BU30" s="56"/>
      <c r="BV30" s="70"/>
      <c r="BW30" s="60"/>
      <c r="BX30" s="204">
        <v>100</v>
      </c>
      <c r="BY30" s="447">
        <v>0.54166666666666663</v>
      </c>
      <c r="BZ30" s="56" t="s">
        <v>1577</v>
      </c>
      <c r="CA30" s="56" t="s">
        <v>184</v>
      </c>
      <c r="CB30" s="72"/>
      <c r="CC30" s="72"/>
      <c r="CD30" s="71"/>
      <c r="CE30" s="60" t="s">
        <v>1536</v>
      </c>
      <c r="CF30" s="71" t="s">
        <v>1537</v>
      </c>
      <c r="CG30" s="56" t="s">
        <v>2165</v>
      </c>
      <c r="CH30" s="57" t="s">
        <v>2166</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2130</v>
      </c>
      <c r="D31" s="50" t="s">
        <v>174</v>
      </c>
      <c r="E31" s="51">
        <v>6003</v>
      </c>
      <c r="F31" s="52" t="s">
        <v>134</v>
      </c>
      <c r="G31" s="53" t="s">
        <v>1489</v>
      </c>
      <c r="H31" s="52" t="s">
        <v>2131</v>
      </c>
      <c r="I31" s="70" t="s">
        <v>2132</v>
      </c>
      <c r="J31" s="60" t="s">
        <v>2133</v>
      </c>
      <c r="K31" s="56" t="s">
        <v>2134</v>
      </c>
      <c r="L31" s="55"/>
      <c r="M31" s="56" t="s">
        <v>2135</v>
      </c>
      <c r="N31" s="57" t="s">
        <v>2136</v>
      </c>
      <c r="O31" s="78" t="s">
        <v>146</v>
      </c>
      <c r="P31" s="59" t="s">
        <v>146</v>
      </c>
      <c r="Q31" s="60" t="s">
        <v>143</v>
      </c>
      <c r="R31" s="397" t="str">
        <f>VLOOKUP(Sheet_1_Table_1_137[[#This Row],[Learning Domain]],[3]List!$A$7:$B$12,2,0)</f>
        <v>CELD</v>
      </c>
      <c r="S31" s="55">
        <v>100</v>
      </c>
      <c r="T31" s="55">
        <v>0</v>
      </c>
      <c r="U31" s="55">
        <v>0</v>
      </c>
      <c r="V31" s="55">
        <v>0</v>
      </c>
      <c r="W31" s="55">
        <v>0</v>
      </c>
      <c r="X31" s="55">
        <v>0</v>
      </c>
      <c r="Y31" s="55">
        <v>0</v>
      </c>
      <c r="Z31" s="55">
        <v>0</v>
      </c>
      <c r="AA31" s="55">
        <v>0</v>
      </c>
      <c r="AB31" s="53">
        <v>100</v>
      </c>
      <c r="AC31" s="52" t="s">
        <v>144</v>
      </c>
      <c r="AD31" s="55" t="s">
        <v>353</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2138</v>
      </c>
      <c r="BQ31" s="55" t="s">
        <v>2139</v>
      </c>
      <c r="BR31" s="57" t="s">
        <v>2140</v>
      </c>
      <c r="BS31" s="52"/>
      <c r="BT31" s="56"/>
      <c r="BU31" s="56"/>
      <c r="BV31" s="70"/>
      <c r="BW31" s="60"/>
      <c r="BX31" s="71"/>
      <c r="BY31" s="56" t="s">
        <v>184</v>
      </c>
      <c r="BZ31" s="56"/>
      <c r="CA31" s="56" t="s">
        <v>184</v>
      </c>
      <c r="CB31" s="72" t="s">
        <v>630</v>
      </c>
      <c r="CC31" s="72" t="s">
        <v>630</v>
      </c>
      <c r="CD31" s="71" t="s">
        <v>630</v>
      </c>
      <c r="CE31" s="60" t="s">
        <v>2141</v>
      </c>
      <c r="CF31" s="71" t="s">
        <v>2142</v>
      </c>
      <c r="CG31" s="56" t="s">
        <v>2143</v>
      </c>
      <c r="CH31" s="57" t="s">
        <v>2144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2188</v>
      </c>
      <c r="D32" s="50" t="s">
        <v>133</v>
      </c>
      <c r="E32" s="51">
        <v>6022</v>
      </c>
      <c r="F32" s="52" t="s">
        <v>134</v>
      </c>
      <c r="G32" s="53" t="s">
        <v>1489</v>
      </c>
      <c r="H32" s="52"/>
      <c r="I32" s="70"/>
      <c r="J32" s="60"/>
      <c r="K32" s="56" t="s">
        <v>2189</v>
      </c>
      <c r="L32" s="55"/>
      <c r="M32" s="56" t="s">
        <v>2190</v>
      </c>
      <c r="N32" s="57" t="s">
        <v>2191</v>
      </c>
      <c r="O32" s="181" t="s">
        <v>142</v>
      </c>
      <c r="P32" s="59" t="s">
        <v>142</v>
      </c>
      <c r="Q32" s="60" t="s">
        <v>143</v>
      </c>
      <c r="R32" s="61" t="s">
        <v>2137</v>
      </c>
      <c r="S32" s="55">
        <v>15</v>
      </c>
      <c r="T32" s="55">
        <v>0</v>
      </c>
      <c r="U32" s="55">
        <v>0</v>
      </c>
      <c r="V32" s="55">
        <v>0</v>
      </c>
      <c r="W32" s="55">
        <v>70</v>
      </c>
      <c r="X32" s="55">
        <v>0</v>
      </c>
      <c r="Y32" s="55">
        <v>0</v>
      </c>
      <c r="Z32" s="55">
        <v>0</v>
      </c>
      <c r="AA32" s="55">
        <v>15</v>
      </c>
      <c r="AB32" s="53">
        <v>100</v>
      </c>
      <c r="AC32" s="52" t="s">
        <v>244</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1508</v>
      </c>
      <c r="AP32" s="68">
        <v>46309</v>
      </c>
      <c r="AQ32" s="64">
        <v>4</v>
      </c>
      <c r="AR32" s="65">
        <v>0.77083333333333337</v>
      </c>
      <c r="AS32" s="66">
        <v>0.85416666666666663</v>
      </c>
      <c r="AT32" s="66" t="s">
        <v>1508</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291</v>
      </c>
      <c r="BP32" s="69" t="s">
        <v>2192</v>
      </c>
      <c r="BQ32" s="55" t="s">
        <v>944</v>
      </c>
      <c r="BR32" s="57" t="s">
        <v>2193</v>
      </c>
      <c r="BS32" s="52"/>
      <c r="BT32" s="56"/>
      <c r="BU32" s="56"/>
      <c r="BV32" s="70"/>
      <c r="BW32" s="60"/>
      <c r="BX32" s="71"/>
      <c r="BY32" s="56"/>
      <c r="BZ32" s="56"/>
      <c r="CA32" s="56"/>
      <c r="CB32" s="72"/>
      <c r="CC32" s="72"/>
      <c r="CD32" s="71"/>
      <c r="CE32" s="60" t="s">
        <v>1512</v>
      </c>
      <c r="CF32" s="71" t="s">
        <v>1513</v>
      </c>
      <c r="CG32" s="56" t="s">
        <v>1502</v>
      </c>
      <c r="CH32" s="57" t="s">
        <v>1503</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2145</v>
      </c>
      <c r="D33" s="50" t="s">
        <v>174</v>
      </c>
      <c r="E33" s="51">
        <v>6005</v>
      </c>
      <c r="F33" s="52" t="s">
        <v>134</v>
      </c>
      <c r="G33" s="53" t="s">
        <v>1489</v>
      </c>
      <c r="H33" s="52" t="s">
        <v>2131</v>
      </c>
      <c r="I33" s="70" t="s">
        <v>2132</v>
      </c>
      <c r="J33" s="60" t="s">
        <v>2146</v>
      </c>
      <c r="K33" s="56" t="s">
        <v>2147</v>
      </c>
      <c r="L33" s="55"/>
      <c r="M33" s="56" t="s">
        <v>2148</v>
      </c>
      <c r="N33" s="57" t="s">
        <v>2149</v>
      </c>
      <c r="O33" s="78" t="s">
        <v>146</v>
      </c>
      <c r="P33" s="59" t="s">
        <v>146</v>
      </c>
      <c r="Q33" s="60" t="s">
        <v>143</v>
      </c>
      <c r="R33" s="61" t="s">
        <v>2137</v>
      </c>
      <c r="S33" s="55">
        <v>100</v>
      </c>
      <c r="T33" s="55">
        <v>0</v>
      </c>
      <c r="U33" s="55">
        <v>0</v>
      </c>
      <c r="V33" s="55">
        <v>0</v>
      </c>
      <c r="W33" s="55">
        <v>0</v>
      </c>
      <c r="X33" s="55">
        <v>0</v>
      </c>
      <c r="Y33" s="55">
        <v>0</v>
      </c>
      <c r="Z33" s="55">
        <v>0</v>
      </c>
      <c r="AA33" s="55">
        <v>0</v>
      </c>
      <c r="AB33" s="53">
        <v>100</v>
      </c>
      <c r="AC33" s="52" t="s">
        <v>144</v>
      </c>
      <c r="AD33" s="55" t="s">
        <v>353</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291</v>
      </c>
      <c r="BP33" s="69" t="s">
        <v>2150</v>
      </c>
      <c r="BQ33" s="55" t="s">
        <v>2065</v>
      </c>
      <c r="BR33" s="57" t="s">
        <v>2151</v>
      </c>
      <c r="BS33" s="52"/>
      <c r="BT33" s="56"/>
      <c r="BU33" s="56"/>
      <c r="BV33" s="70"/>
      <c r="BW33" s="60"/>
      <c r="BX33" s="71"/>
      <c r="BY33" s="56" t="s">
        <v>149</v>
      </c>
      <c r="BZ33" s="56"/>
      <c r="CA33" s="56" t="s">
        <v>149</v>
      </c>
      <c r="CB33" s="72" t="s">
        <v>630</v>
      </c>
      <c r="CC33" s="72" t="s">
        <v>630</v>
      </c>
      <c r="CD33" s="71" t="s">
        <v>630</v>
      </c>
      <c r="CE33" s="60" t="s">
        <v>2141</v>
      </c>
      <c r="CF33" s="71" t="s">
        <v>2142</v>
      </c>
      <c r="CG33" s="56" t="s">
        <v>2143</v>
      </c>
      <c r="CH33" s="57" t="s">
        <v>2144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2152</v>
      </c>
      <c r="D34" s="50" t="s">
        <v>174</v>
      </c>
      <c r="E34" s="51">
        <v>6006</v>
      </c>
      <c r="F34" s="52" t="s">
        <v>134</v>
      </c>
      <c r="G34" s="53" t="s">
        <v>1489</v>
      </c>
      <c r="H34" s="52" t="s">
        <v>2131</v>
      </c>
      <c r="I34" s="70" t="s">
        <v>2132</v>
      </c>
      <c r="J34" s="60" t="s">
        <v>2153</v>
      </c>
      <c r="K34" s="56" t="s">
        <v>2154</v>
      </c>
      <c r="L34" s="55"/>
      <c r="M34" s="56" t="s">
        <v>2155</v>
      </c>
      <c r="N34" s="57" t="s">
        <v>2156</v>
      </c>
      <c r="O34" s="78" t="s">
        <v>146</v>
      </c>
      <c r="P34" s="59" t="s">
        <v>146</v>
      </c>
      <c r="Q34" s="60" t="s">
        <v>143</v>
      </c>
      <c r="R34" s="77" t="s">
        <v>2137</v>
      </c>
      <c r="S34" s="55">
        <v>100</v>
      </c>
      <c r="T34" s="55">
        <v>0</v>
      </c>
      <c r="U34" s="55">
        <v>0</v>
      </c>
      <c r="V34" s="55">
        <v>0</v>
      </c>
      <c r="W34" s="55">
        <v>0</v>
      </c>
      <c r="X34" s="55">
        <v>0</v>
      </c>
      <c r="Y34" s="55">
        <v>0</v>
      </c>
      <c r="Z34" s="55">
        <v>0</v>
      </c>
      <c r="AA34" s="55">
        <v>0</v>
      </c>
      <c r="AB34" s="53">
        <v>100</v>
      </c>
      <c r="AC34" s="52" t="s">
        <v>144</v>
      </c>
      <c r="AD34" s="55" t="s">
        <v>353</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2157</v>
      </c>
      <c r="BQ34" s="55" t="s">
        <v>440</v>
      </c>
      <c r="BR34" s="57" t="s">
        <v>2158</v>
      </c>
      <c r="BS34" s="52"/>
      <c r="BT34" s="56"/>
      <c r="BU34" s="56"/>
      <c r="BV34" s="70"/>
      <c r="BW34" s="60"/>
      <c r="BX34" s="71"/>
      <c r="BY34" s="56" t="s">
        <v>184</v>
      </c>
      <c r="BZ34" s="56"/>
      <c r="CA34" s="56" t="s">
        <v>184</v>
      </c>
      <c r="CB34" s="72" t="s">
        <v>630</v>
      </c>
      <c r="CC34" s="72" t="s">
        <v>630</v>
      </c>
      <c r="CD34" s="71" t="s">
        <v>630</v>
      </c>
      <c r="CE34" s="60" t="s">
        <v>2141</v>
      </c>
      <c r="CF34" s="71" t="s">
        <v>2142</v>
      </c>
      <c r="CG34" s="56" t="s">
        <v>2143</v>
      </c>
      <c r="CH34" s="57" t="s">
        <v>2144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8"/>
      <c r="L35" s="341"/>
      <c r="M35" s="56" t="s">
        <v>342</v>
      </c>
      <c r="N35" s="57"/>
      <c r="O35" s="114"/>
      <c r="P35" s="96"/>
      <c r="Q35" s="60"/>
      <c r="R35" s="61" t="e">
        <f>VLOOKUP(Sheet_1_Table_1_137[[#This Row],[Learning Domain]],[3]List!$A$7:$B$12,2,0)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WEEKDAY([4]!Sheet_1_Table_1_13[[#This Row],[Lesson 3
Date 
(DD-MMM-YYYY)]])</f>
        <v>#REF!</v>
      </c>
      <c r="AW35" s="65"/>
      <c r="AX35" s="66"/>
      <c r="AY35" s="126"/>
      <c r="AZ35" s="98"/>
      <c r="BA35" s="64" t="e">
        <f>WEEKDAY([4]!Sheet_1_Table_1_13[[#This Row],[Lesson 4
Date 
(DD-MMM-YYYY)]])</f>
        <v>#REF!</v>
      </c>
      <c r="BB35" s="65"/>
      <c r="BC35" s="66"/>
      <c r="BD35" s="126"/>
      <c r="BE35" s="63"/>
      <c r="BF35" s="64" t="e">
        <f>WEEKDAY([4]!Sheet_1_Table_1_13[[#This Row],[Lesson 5
Date 
(DD-MMM-YYYY)]])</f>
        <v>#REF!</v>
      </c>
      <c r="BG35" s="65"/>
      <c r="BH35" s="66"/>
      <c r="BI35" s="126"/>
      <c r="BJ35" s="98"/>
      <c r="BK35" s="64" t="e">
        <f>WEEKDAY([4]!Sheet_1_Table_1_13[[#This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8"/>
      <c r="L36" s="341"/>
      <c r="M36" s="56" t="s">
        <v>342</v>
      </c>
      <c r="N36" s="57"/>
      <c r="O36" s="114"/>
      <c r="P36" s="96"/>
      <c r="Q36" s="60"/>
      <c r="R36" s="77" t="e">
        <f>VLOOKUP(Sheet_1_Table_1_137[[#This Row],[Learning Domain]],[3]List!$A$7:$B$12,2,0)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WEEKDAY([4]!Sheet_1_Table_1_13[[#This Row],[Lesson 3
Date 
(DD-MMM-YYYY)]])</f>
        <v>#REF!</v>
      </c>
      <c r="AW36" s="65"/>
      <c r="AX36" s="66"/>
      <c r="AY36" s="126"/>
      <c r="AZ36" s="98"/>
      <c r="BA36" s="64" t="e">
        <f>WEEKDAY([4]!Sheet_1_Table_1_13[[#This Row],[Lesson 4
Date 
(DD-MMM-YYYY)]])</f>
        <v>#REF!</v>
      </c>
      <c r="BB36" s="65"/>
      <c r="BC36" s="66"/>
      <c r="BD36" s="126"/>
      <c r="BE36" s="63"/>
      <c r="BF36" s="64" t="e">
        <f>WEEKDAY([4]!Sheet_1_Table_1_13[[#This Row],[Lesson 5
Date 
(DD-MMM-YYYY)]])</f>
        <v>#REF!</v>
      </c>
      <c r="BG36" s="65"/>
      <c r="BH36" s="66"/>
      <c r="BI36" s="126"/>
      <c r="BJ36" s="98"/>
      <c r="BK36" s="64" t="e">
        <f>WEEKDAY([4]!Sheet_1_Table_1_13[[#This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8"/>
      <c r="L37" s="341"/>
      <c r="M37" s="56" t="s">
        <v>342</v>
      </c>
      <c r="N37" s="57"/>
      <c r="O37" s="114"/>
      <c r="P37" s="96"/>
      <c r="Q37" s="60"/>
      <c r="R37" s="61" t="e">
        <f>VLOOKUP(Sheet_1_Table_1_137[[#This Row],[Learning Domain]],[3]List!$A$7:$B$12,2,0)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WEEKDAY([4]!Sheet_1_Table_1_13[[#This Row],[Lesson 3
Date 
(DD-MMM-YYYY)]])</f>
        <v>#REF!</v>
      </c>
      <c r="AW37" s="65"/>
      <c r="AX37" s="66"/>
      <c r="AY37" s="126"/>
      <c r="AZ37" s="98"/>
      <c r="BA37" s="64" t="e">
        <f>WEEKDAY([4]!Sheet_1_Table_1_13[[#This Row],[Lesson 4
Date 
(DD-MMM-YYYY)]])</f>
        <v>#REF!</v>
      </c>
      <c r="BB37" s="65"/>
      <c r="BC37" s="66"/>
      <c r="BD37" s="126"/>
      <c r="BE37" s="63"/>
      <c r="BF37" s="64" t="e">
        <f>WEEKDAY([4]!Sheet_1_Table_1_13[[#This Row],[Lesson 5
Date 
(DD-MMM-YYYY)]])</f>
        <v>#REF!</v>
      </c>
      <c r="BG37" s="65"/>
      <c r="BH37" s="66"/>
      <c r="BI37" s="126"/>
      <c r="BJ37" s="98"/>
      <c r="BK37" s="64" t="e">
        <f>WEEKDAY([4]!Sheet_1_Table_1_13[[#This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8"/>
      <c r="L38" s="341"/>
      <c r="M38" s="56" t="s">
        <v>342</v>
      </c>
      <c r="N38" s="57"/>
      <c r="O38" s="114"/>
      <c r="P38" s="96"/>
      <c r="Q38" s="60"/>
      <c r="R38" s="77" t="e">
        <f>VLOOKUP(Sheet_1_Table_1_137[[#This Row],[Learning Domain]],[3]List!$A$7:$B$12,2,0)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WEEKDAY([4]!Sheet_1_Table_1_13[[#This Row],[Lesson 3
Date 
(DD-MMM-YYYY)]])</f>
        <v>#REF!</v>
      </c>
      <c r="AW38" s="65"/>
      <c r="AX38" s="66"/>
      <c r="AY38" s="126"/>
      <c r="AZ38" s="98"/>
      <c r="BA38" s="64" t="e">
        <f>WEEKDAY([4]!Sheet_1_Table_1_13[[#This Row],[Lesson 4
Date 
(DD-MMM-YYYY)]])</f>
        <v>#REF!</v>
      </c>
      <c r="BB38" s="65"/>
      <c r="BC38" s="66"/>
      <c r="BD38" s="126"/>
      <c r="BE38" s="63"/>
      <c r="BF38" s="64" t="e">
        <f>WEEKDAY([4]!Sheet_1_Table_1_13[[#This Row],[Lesson 5
Date 
(DD-MMM-YYYY)]])</f>
        <v>#REF!</v>
      </c>
      <c r="BG38" s="65"/>
      <c r="BH38" s="66"/>
      <c r="BI38" s="126"/>
      <c r="BJ38" s="98"/>
      <c r="BK38" s="64" t="e">
        <f>WEEKDAY([4]!Sheet_1_Table_1_13[[#This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8"/>
      <c r="L39" s="341"/>
      <c r="M39" s="56" t="s">
        <v>342</v>
      </c>
      <c r="N39" s="57"/>
      <c r="O39" s="114"/>
      <c r="P39" s="96"/>
      <c r="Q39" s="60"/>
      <c r="R39" s="61" t="e">
        <f>VLOOKUP(Sheet_1_Table_1_137[[#This Row],[Learning Domain]],[3]List!$A$7:$B$12,2,0)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WEEKDAY([4]!Sheet_1_Table_1_13[[#This Row],[Lesson 3
Date 
(DD-MMM-YYYY)]])</f>
        <v>#REF!</v>
      </c>
      <c r="AW39" s="65"/>
      <c r="AX39" s="66"/>
      <c r="AY39" s="126"/>
      <c r="AZ39" s="98"/>
      <c r="BA39" s="64" t="e">
        <f>WEEKDAY([4]!Sheet_1_Table_1_13[[#This Row],[Lesson 4
Date 
(DD-MMM-YYYY)]])</f>
        <v>#REF!</v>
      </c>
      <c r="BB39" s="65"/>
      <c r="BC39" s="66"/>
      <c r="BD39" s="126"/>
      <c r="BE39" s="63"/>
      <c r="BF39" s="64" t="e">
        <f>WEEKDAY([4]!Sheet_1_Table_1_13[[#This Row],[Lesson 5
Date 
(DD-MMM-YYYY)]])</f>
        <v>#REF!</v>
      </c>
      <c r="BG39" s="65"/>
      <c r="BH39" s="66"/>
      <c r="BI39" s="126"/>
      <c r="BJ39" s="98"/>
      <c r="BK39" s="64" t="e">
        <f>WEEKDAY([4]!Sheet_1_Table_1_13[[#This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8"/>
      <c r="L40" s="341"/>
      <c r="M40" s="56" t="s">
        <v>342</v>
      </c>
      <c r="N40" s="57"/>
      <c r="O40" s="114"/>
      <c r="P40" s="96"/>
      <c r="Q40" s="60"/>
      <c r="R40" s="77" t="e">
        <f>VLOOKUP(Sheet_1_Table_1_137[[#This Row],[Learning Domain]],[3]List!$A$7:$B$12,2,0)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WEEKDAY([4]!Sheet_1_Table_1_13[[#This Row],[Lesson 3
Date 
(DD-MMM-YYYY)]])</f>
        <v>#REF!</v>
      </c>
      <c r="AW40" s="65"/>
      <c r="AX40" s="66"/>
      <c r="AY40" s="126"/>
      <c r="AZ40" s="98"/>
      <c r="BA40" s="64" t="e">
        <f>WEEKDAY([4]!Sheet_1_Table_1_13[[#This Row],[Lesson 4
Date 
(DD-MMM-YYYY)]])</f>
        <v>#REF!</v>
      </c>
      <c r="BB40" s="65"/>
      <c r="BC40" s="66"/>
      <c r="BD40" s="126"/>
      <c r="BE40" s="63"/>
      <c r="BF40" s="64" t="e">
        <f>WEEKDAY([4]!Sheet_1_Table_1_13[[#This Row],[Lesson 5
Date 
(DD-MMM-YYYY)]])</f>
        <v>#REF!</v>
      </c>
      <c r="BG40" s="65"/>
      <c r="BH40" s="66"/>
      <c r="BI40" s="126"/>
      <c r="BJ40" s="98"/>
      <c r="BK40" s="64" t="e">
        <f>WEEKDAY([4]!Sheet_1_Table_1_13[[#This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8"/>
      <c r="L41" s="341"/>
      <c r="M41" s="56" t="s">
        <v>342</v>
      </c>
      <c r="N41" s="57"/>
      <c r="O41" s="114"/>
      <c r="P41" s="96"/>
      <c r="Q41" s="60"/>
      <c r="R41" s="61" t="e">
        <f>VLOOKUP(Sheet_1_Table_1_137[[#This Row],[Learning Domain]],[3]List!$A$7:$B$12,2,0)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WEEKDAY([4]!Sheet_1_Table_1_13[[#This Row],[Lesson 3
Date 
(DD-MMM-YYYY)]])</f>
        <v>#REF!</v>
      </c>
      <c r="AW41" s="65"/>
      <c r="AX41" s="66"/>
      <c r="AY41" s="126"/>
      <c r="AZ41" s="98"/>
      <c r="BA41" s="64" t="e">
        <f>WEEKDAY([4]!Sheet_1_Table_1_13[[#This Row],[Lesson 4
Date 
(DD-MMM-YYYY)]])</f>
        <v>#REF!</v>
      </c>
      <c r="BB41" s="65"/>
      <c r="BC41" s="66"/>
      <c r="BD41" s="126"/>
      <c r="BE41" s="63"/>
      <c r="BF41" s="64" t="e">
        <f>WEEKDAY([4]!Sheet_1_Table_1_13[[#This Row],[Lesson 5
Date 
(DD-MMM-YYYY)]])</f>
        <v>#REF!</v>
      </c>
      <c r="BG41" s="65"/>
      <c r="BH41" s="66"/>
      <c r="BI41" s="126"/>
      <c r="BJ41" s="98"/>
      <c r="BK41" s="64" t="e">
        <f>WEEKDAY([4]!Sheet_1_Table_1_13[[#This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8"/>
      <c r="L42" s="341"/>
      <c r="M42" s="56" t="s">
        <v>342</v>
      </c>
      <c r="N42" s="57"/>
      <c r="O42" s="114"/>
      <c r="P42" s="96"/>
      <c r="Q42" s="60"/>
      <c r="R42" s="61" t="e">
        <f>VLOOKUP(Sheet_1_Table_1_137[[#This Row],[Learning Domain]],[3]List!$A$7:$B$12,2,0)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WEEKDAY([4]!Sheet_1_Table_1_13[[#This Row],[Lesson 3
Date 
(DD-MMM-YYYY)]])</f>
        <v>#REF!</v>
      </c>
      <c r="AW42" s="65"/>
      <c r="AX42" s="66"/>
      <c r="AY42" s="126"/>
      <c r="AZ42" s="98"/>
      <c r="BA42" s="64" t="e">
        <f>WEEKDAY([4]!Sheet_1_Table_1_13[[#This Row],[Lesson 4
Date 
(DD-MMM-YYYY)]])</f>
        <v>#REF!</v>
      </c>
      <c r="BB42" s="65"/>
      <c r="BC42" s="66"/>
      <c r="BD42" s="126"/>
      <c r="BE42" s="63"/>
      <c r="BF42" s="64" t="e">
        <f>WEEKDAY([4]!Sheet_1_Table_1_13[[#This Row],[Lesson 5
Date 
(DD-MMM-YYYY)]])</f>
        <v>#REF!</v>
      </c>
      <c r="BG42" s="65"/>
      <c r="BH42" s="66"/>
      <c r="BI42" s="126"/>
      <c r="BJ42" s="98"/>
      <c r="BK42" s="64" t="e">
        <f>WEEKDAY([4]!Sheet_1_Table_1_13[[#This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8"/>
      <c r="L43" s="341"/>
      <c r="M43" s="56" t="s">
        <v>342</v>
      </c>
      <c r="N43" s="57"/>
      <c r="O43" s="114"/>
      <c r="P43" s="96"/>
      <c r="Q43" s="60"/>
      <c r="R43" s="77" t="e">
        <f>VLOOKUP(Sheet_1_Table_1_137[[#This Row],[Learning Domain]],[3]List!$A$7:$B$12,2,0)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WEEKDAY([4]!Sheet_1_Table_1_13[[#This Row],[Lesson 3
Date 
(DD-MMM-YYYY)]])</f>
        <v>#REF!</v>
      </c>
      <c r="AW43" s="65"/>
      <c r="AX43" s="66"/>
      <c r="AY43" s="126"/>
      <c r="AZ43" s="98"/>
      <c r="BA43" s="64" t="e">
        <f>WEEKDAY([4]!Sheet_1_Table_1_13[[#This Row],[Lesson 4
Date 
(DD-MMM-YYYY)]])</f>
        <v>#REF!</v>
      </c>
      <c r="BB43" s="65"/>
      <c r="BC43" s="66"/>
      <c r="BD43" s="126"/>
      <c r="BE43" s="63"/>
      <c r="BF43" s="64" t="e">
        <f>WEEKDAY([4]!Sheet_1_Table_1_13[[#This Row],[Lesson 5
Date 
(DD-MMM-YYYY)]])</f>
        <v>#REF!</v>
      </c>
      <c r="BG43" s="65"/>
      <c r="BH43" s="66"/>
      <c r="BI43" s="126"/>
      <c r="BJ43" s="98"/>
      <c r="BK43" s="64" t="e">
        <f>WEEKDAY([4]!Sheet_1_Table_1_13[[#This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8"/>
      <c r="L44" s="341"/>
      <c r="M44" s="56" t="s">
        <v>342</v>
      </c>
      <c r="N44" s="57"/>
      <c r="O44" s="114"/>
      <c r="P44" s="96"/>
      <c r="Q44" s="60"/>
      <c r="R44" s="61" t="e">
        <f>VLOOKUP(Sheet_1_Table_1_137[[#This Row],[Learning Domain]],[3]List!$A$7:$B$12,2,0)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WEEKDAY([4]!Sheet_1_Table_1_13[[#This Row],[Lesson 3
Date 
(DD-MMM-YYYY)]])</f>
        <v>#REF!</v>
      </c>
      <c r="AW44" s="65"/>
      <c r="AX44" s="66"/>
      <c r="AY44" s="126"/>
      <c r="AZ44" s="98"/>
      <c r="BA44" s="64" t="e">
        <f>WEEKDAY([4]!Sheet_1_Table_1_13[[#This Row],[Lesson 4
Date 
(DD-MMM-YYYY)]])</f>
        <v>#REF!</v>
      </c>
      <c r="BB44" s="65"/>
      <c r="BC44" s="66"/>
      <c r="BD44" s="126"/>
      <c r="BE44" s="63"/>
      <c r="BF44" s="64" t="e">
        <f>WEEKDAY([4]!Sheet_1_Table_1_13[[#This Row],[Lesson 5
Date 
(DD-MMM-YYYY)]])</f>
        <v>#REF!</v>
      </c>
      <c r="BG44" s="65"/>
      <c r="BH44" s="66"/>
      <c r="BI44" s="126"/>
      <c r="BJ44" s="98"/>
      <c r="BK44" s="64" t="e">
        <f>WEEKDAY([4]!Sheet_1_Table_1_13[[#This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8"/>
      <c r="L45" s="341"/>
      <c r="M45" s="56" t="s">
        <v>342</v>
      </c>
      <c r="N45" s="57"/>
      <c r="O45" s="114"/>
      <c r="P45" s="96"/>
      <c r="Q45" s="60"/>
      <c r="R45" s="61" t="e">
        <f>VLOOKUP(Sheet_1_Table_1_137[[#This Row],[Learning Domain]],[3]List!$A$7:$B$12,2,0)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WEEKDAY([4]!Sheet_1_Table_1_13[[#This Row],[Lesson 3
Date 
(DD-MMM-YYYY)]])</f>
        <v>#REF!</v>
      </c>
      <c r="AW45" s="65"/>
      <c r="AX45" s="66"/>
      <c r="AY45" s="126"/>
      <c r="AZ45" s="98"/>
      <c r="BA45" s="64" t="e">
        <f>WEEKDAY([4]!Sheet_1_Table_1_13[[#This Row],[Lesson 4
Date 
(DD-MMM-YYYY)]])</f>
        <v>#REF!</v>
      </c>
      <c r="BB45" s="65"/>
      <c r="BC45" s="66"/>
      <c r="BD45" s="126"/>
      <c r="BE45" s="63"/>
      <c r="BF45" s="64" t="e">
        <f>WEEKDAY([4]!Sheet_1_Table_1_13[[#This Row],[Lesson 5
Date 
(DD-MMM-YYYY)]])</f>
        <v>#REF!</v>
      </c>
      <c r="BG45" s="65"/>
      <c r="BH45" s="66"/>
      <c r="BI45" s="126"/>
      <c r="BJ45" s="98"/>
      <c r="BK45" s="64" t="e">
        <f>WEEKDAY([4]!Sheet_1_Table_1_13[[#This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8"/>
      <c r="L46" s="341"/>
      <c r="M46" s="56" t="s">
        <v>342</v>
      </c>
      <c r="N46" s="57"/>
      <c r="O46" s="114"/>
      <c r="P46" s="96"/>
      <c r="Q46" s="60"/>
      <c r="R46" s="77" t="e">
        <f>VLOOKUP(Sheet_1_Table_1_137[[#This Row],[Learning Domain]],[3]List!$A$7:$B$12,2,0)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WEEKDAY([4]!Sheet_1_Table_1_13[[#This Row],[Lesson 3
Date 
(DD-MMM-YYYY)]])</f>
        <v>#REF!</v>
      </c>
      <c r="AW46" s="65"/>
      <c r="AX46" s="66"/>
      <c r="AY46" s="126"/>
      <c r="AZ46" s="98"/>
      <c r="BA46" s="64" t="e">
        <f>WEEKDAY([4]!Sheet_1_Table_1_13[[#This Row],[Lesson 4
Date 
(DD-MMM-YYYY)]])</f>
        <v>#REF!</v>
      </c>
      <c r="BB46" s="65"/>
      <c r="BC46" s="66"/>
      <c r="BD46" s="126"/>
      <c r="BE46" s="63"/>
      <c r="BF46" s="64" t="e">
        <f>WEEKDAY([4]!Sheet_1_Table_1_13[[#This Row],[Lesson 5
Date 
(DD-MMM-YYYY)]])</f>
        <v>#REF!</v>
      </c>
      <c r="BG46" s="65"/>
      <c r="BH46" s="66"/>
      <c r="BI46" s="126"/>
      <c r="BJ46" s="98"/>
      <c r="BK46" s="64" t="e">
        <f>WEEKDAY([4]!Sheet_1_Table_1_13[[#This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8"/>
      <c r="L47" s="341"/>
      <c r="M47" s="56" t="s">
        <v>342</v>
      </c>
      <c r="N47" s="57"/>
      <c r="O47" s="114"/>
      <c r="P47" s="96"/>
      <c r="Q47" s="60"/>
      <c r="R47" s="61" t="e">
        <f>VLOOKUP(Sheet_1_Table_1_137[[#This Row],[Learning Domain]],[3]List!$A$7:$B$12,2,0)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WEEKDAY([4]!Sheet_1_Table_1_13[[#This Row],[Lesson 3
Date 
(DD-MMM-YYYY)]])</f>
        <v>#REF!</v>
      </c>
      <c r="AW47" s="65"/>
      <c r="AX47" s="66"/>
      <c r="AY47" s="126"/>
      <c r="AZ47" s="98"/>
      <c r="BA47" s="64" t="e">
        <f>WEEKDAY([4]!Sheet_1_Table_1_13[[#This Row],[Lesson 4
Date 
(DD-MMM-YYYY)]])</f>
        <v>#REF!</v>
      </c>
      <c r="BB47" s="65"/>
      <c r="BC47" s="66"/>
      <c r="BD47" s="126"/>
      <c r="BE47" s="63"/>
      <c r="BF47" s="64" t="e">
        <f>WEEKDAY([4]!Sheet_1_Table_1_13[[#This Row],[Lesson 5
Date 
(DD-MMM-YYYY)]])</f>
        <v>#REF!</v>
      </c>
      <c r="BG47" s="65"/>
      <c r="BH47" s="66"/>
      <c r="BI47" s="126"/>
      <c r="BJ47" s="98"/>
      <c r="BK47" s="64" t="e">
        <f>WEEKDAY([4]!Sheet_1_Table_1_13[[#This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8"/>
      <c r="L48" s="341"/>
      <c r="M48" s="56" t="s">
        <v>342</v>
      </c>
      <c r="N48" s="57"/>
      <c r="O48" s="114"/>
      <c r="P48" s="96"/>
      <c r="Q48" s="60"/>
      <c r="R48" s="61" t="e">
        <f>VLOOKUP(Sheet_1_Table_1_137[[#This Row],[Learning Domain]],[3]List!$A$7:$B$12,2,0)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WEEKDAY([4]!Sheet_1_Table_1_13[[#This Row],[Lesson 3
Date 
(DD-MMM-YYYY)]])</f>
        <v>#REF!</v>
      </c>
      <c r="AW48" s="65"/>
      <c r="AX48" s="66"/>
      <c r="AY48" s="126"/>
      <c r="AZ48" s="98"/>
      <c r="BA48" s="64" t="e">
        <f>WEEKDAY([4]!Sheet_1_Table_1_13[[#This Row],[Lesson 4
Date 
(DD-MMM-YYYY)]])</f>
        <v>#REF!</v>
      </c>
      <c r="BB48" s="65"/>
      <c r="BC48" s="66"/>
      <c r="BD48" s="126"/>
      <c r="BE48" s="63"/>
      <c r="BF48" s="64" t="e">
        <f>WEEKDAY([4]!Sheet_1_Table_1_13[[#This Row],[Lesson 5
Date 
(DD-MMM-YYYY)]])</f>
        <v>#REF!</v>
      </c>
      <c r="BG48" s="65"/>
      <c r="BH48" s="66"/>
      <c r="BI48" s="126"/>
      <c r="BJ48" s="98"/>
      <c r="BK48" s="64" t="e">
        <f>WEEKDAY([4]!Sheet_1_Table_1_13[[#This Row],[Lesson 6
Date 
(DD-MMM-YYYY)]])</f>
        <v>#REF!</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8"/>
      <c r="L49" s="341"/>
      <c r="M49" s="56" t="s">
        <v>342</v>
      </c>
      <c r="N49" s="57"/>
      <c r="O49" s="114"/>
      <c r="P49" s="96"/>
      <c r="Q49" s="60"/>
      <c r="R49" s="77" t="e">
        <f>VLOOKUP(Sheet_1_Table_1_137[[#This Row],[Learning Domain]],[3]List!$A$7:$B$12,2,0)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WEEKDAY([4]!Sheet_1_Table_1_13[[#This Row],[Lesson 3
Date 
(DD-MMM-YYYY)]])</f>
        <v>#REF!</v>
      </c>
      <c r="AW49" s="65"/>
      <c r="AX49" s="66"/>
      <c r="AY49" s="126"/>
      <c r="AZ49" s="98"/>
      <c r="BA49" s="64" t="e">
        <f>WEEKDAY([4]!Sheet_1_Table_1_13[[#This Row],[Lesson 4
Date 
(DD-MMM-YYYY)]])</f>
        <v>#REF!</v>
      </c>
      <c r="BB49" s="65"/>
      <c r="BC49" s="66"/>
      <c r="BD49" s="126"/>
      <c r="BE49" s="63"/>
      <c r="BF49" s="64" t="e">
        <f>WEEKDAY([4]!Sheet_1_Table_1_13[[#This Row],[Lesson 5
Date 
(DD-MMM-YYYY)]])</f>
        <v>#REF!</v>
      </c>
      <c r="BG49" s="65"/>
      <c r="BH49" s="66"/>
      <c r="BI49" s="126"/>
      <c r="BJ49" s="98"/>
      <c r="BK49" s="64" t="e">
        <f>WEEKDAY([4]!Sheet_1_Table_1_13[[#This Row],[Lesson 6
Date 
(DD-MMM-YYYY)]])</f>
        <v>#REF!</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8"/>
      <c r="L50" s="341"/>
      <c r="M50" s="56" t="s">
        <v>342</v>
      </c>
      <c r="N50" s="57"/>
      <c r="O50" s="114"/>
      <c r="P50" s="96"/>
      <c r="Q50" s="60"/>
      <c r="R50" s="61" t="e">
        <f>VLOOKUP(Sheet_1_Table_1_137[[#This Row],[Learning Domain]],[3]List!$A$7:$B$12,2,0)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WEEKDAY([4]!Sheet_1_Table_1_13[[#This Row],[Lesson 3
Date 
(DD-MMM-YYYY)]])</f>
        <v>#REF!</v>
      </c>
      <c r="AW50" s="65"/>
      <c r="AX50" s="66"/>
      <c r="AY50" s="126"/>
      <c r="AZ50" s="98"/>
      <c r="BA50" s="64" t="e">
        <f>WEEKDAY([4]!Sheet_1_Table_1_13[[#This Row],[Lesson 4
Date 
(DD-MMM-YYYY)]])</f>
        <v>#REF!</v>
      </c>
      <c r="BB50" s="65"/>
      <c r="BC50" s="66"/>
      <c r="BD50" s="126"/>
      <c r="BE50" s="63"/>
      <c r="BF50" s="64" t="e">
        <f>WEEKDAY([4]!Sheet_1_Table_1_13[[#This Row],[Lesson 5
Date 
(DD-MMM-YYYY)]])</f>
        <v>#REF!</v>
      </c>
      <c r="BG50" s="65"/>
      <c r="BH50" s="66"/>
      <c r="BI50" s="126"/>
      <c r="BJ50" s="98"/>
      <c r="BK50" s="64" t="e">
        <f>WEEKDAY([4]!Sheet_1_Table_1_13[[#This Row],[Lesson 6
Date 
(DD-MMM-YYYY)]])</f>
        <v>#REF!</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8"/>
      <c r="L51" s="341"/>
      <c r="M51" s="56" t="s">
        <v>342</v>
      </c>
      <c r="N51" s="57"/>
      <c r="O51" s="114"/>
      <c r="P51" s="96"/>
      <c r="Q51" s="60"/>
      <c r="R51" s="61" t="e">
        <f>VLOOKUP(Sheet_1_Table_1_137[[#This Row],[Learning Domain]],[3]List!$A$7:$B$12,2,0)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WEEKDAY([4]!Sheet_1_Table_1_13[[#This Row],[Lesson 3
Date 
(DD-MMM-YYYY)]])</f>
        <v>#REF!</v>
      </c>
      <c r="AW51" s="65"/>
      <c r="AX51" s="66"/>
      <c r="AY51" s="126"/>
      <c r="AZ51" s="98"/>
      <c r="BA51" s="64" t="e">
        <f>WEEKDAY([4]!Sheet_1_Table_1_13[[#This Row],[Lesson 4
Date 
(DD-MMM-YYYY)]])</f>
        <v>#REF!</v>
      </c>
      <c r="BB51" s="65"/>
      <c r="BC51" s="66"/>
      <c r="BD51" s="126"/>
      <c r="BE51" s="63"/>
      <c r="BF51" s="64" t="e">
        <f>WEEKDAY([4]!Sheet_1_Table_1_13[[#This Row],[Lesson 5
Date 
(DD-MMM-YYYY)]])</f>
        <v>#REF!</v>
      </c>
      <c r="BG51" s="65"/>
      <c r="BH51" s="66"/>
      <c r="BI51" s="126"/>
      <c r="BJ51" s="98"/>
      <c r="BK51" s="64" t="e">
        <f>WEEKDAY([4]!Sheet_1_Table_1_13[[#This Row],[Lesson 6
Date 
(DD-MMM-YYYY)]])</f>
        <v>#REF!</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112" priority="40" operator="greaterThan">
      <formula>0</formula>
    </cfRule>
  </conditionalFormatting>
  <conditionalFormatting sqref="K22:K23">
    <cfRule type="cellIs" dxfId="111" priority="33" operator="greaterThan">
      <formula>0</formula>
    </cfRule>
  </conditionalFormatting>
  <conditionalFormatting sqref="K25:L26">
    <cfRule type="cellIs" dxfId="110" priority="3" operator="greaterThan">
      <formula>0</formula>
    </cfRule>
  </conditionalFormatting>
  <conditionalFormatting sqref="L22:L23">
    <cfRule type="cellIs" dxfId="109" priority="35" operator="greaterThan">
      <formula>0</formula>
    </cfRule>
  </conditionalFormatting>
  <conditionalFormatting sqref="S3:AA51">
    <cfRule type="cellIs" dxfId="108" priority="4" operator="greaterThan">
      <formula>0</formula>
    </cfRule>
  </conditionalFormatting>
  <conditionalFormatting sqref="AB3:AB23">
    <cfRule type="cellIs" dxfId="107" priority="37" operator="notEqual">
      <formula>100</formula>
    </cfRule>
    <cfRule type="cellIs" dxfId="106" priority="38" operator="equal">
      <formula>100</formula>
    </cfRule>
  </conditionalFormatting>
  <conditionalFormatting sqref="AB25:AB51">
    <cfRule type="cellIs" dxfId="105" priority="5" operator="notEqual">
      <formula>100</formula>
    </cfRule>
    <cfRule type="cellIs" dxfId="104" priority="6" operator="equal">
      <formula>100</formula>
    </cfRule>
  </conditionalFormatting>
  <conditionalFormatting sqref="AE3:AG23 CI3:CZ24 CI35:CZ51">
    <cfRule type="containsText" dxfId="103" priority="34" operator="containsText" text="Y">
      <formula>NOT(ISERROR(SEARCH("Y",AE3)))</formula>
    </cfRule>
  </conditionalFormatting>
  <conditionalFormatting sqref="AE25:AG51">
    <cfRule type="containsText" dxfId="102" priority="2" operator="containsText" text="Y">
      <formula>NOT(ISERROR(SEARCH("Y",AE25)))</formula>
    </cfRule>
  </conditionalFormatting>
  <conditionalFormatting sqref="AE24:AI24">
    <cfRule type="containsText" dxfId="101" priority="31" operator="containsText" text="Y">
      <formula>NOT(ISERROR(SEARCH("Y",AE24)))</formula>
    </cfRule>
  </conditionalFormatting>
  <conditionalFormatting sqref="CI25:DB34">
    <cfRule type="containsText" dxfId="100" priority="1" operator="containsText" text="Y">
      <formula>NOT(ISERROR(SEARCH("Y",CI25)))</formula>
    </cfRule>
  </conditionalFormatting>
  <conditionalFormatting sqref="DI3:DJ51">
    <cfRule type="containsText" dxfId="99"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A32" zoomScale="63" zoomScaleNormal="63" workbookViewId="0">
      <selection activeCell="L37" sqref="L37"/>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04"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96" t="s">
        <v>24</v>
      </c>
      <c r="K2" s="28" t="s">
        <v>25</v>
      </c>
      <c r="L2" s="30" t="s">
        <v>26</v>
      </c>
      <c r="M2" s="197" t="s">
        <v>27</v>
      </c>
      <c r="N2" s="19" t="s">
        <v>28</v>
      </c>
      <c r="O2" s="20" t="s">
        <v>29</v>
      </c>
      <c r="P2" s="15" t="s">
        <v>30</v>
      </c>
      <c r="Q2" s="21" t="s">
        <v>31</v>
      </c>
      <c r="R2" s="23" t="s">
        <v>32</v>
      </c>
      <c r="S2" s="198"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80.099999999999994" customHeight="1">
      <c r="A3" s="48">
        <v>2</v>
      </c>
      <c r="B3" s="49">
        <v>202609</v>
      </c>
      <c r="C3" s="205" t="s">
        <v>344</v>
      </c>
      <c r="D3" s="205" t="s">
        <v>250</v>
      </c>
      <c r="E3" s="206">
        <v>5867</v>
      </c>
      <c r="F3" s="471" t="s">
        <v>134</v>
      </c>
      <c r="G3" s="472" t="s">
        <v>345</v>
      </c>
      <c r="H3" s="199" t="s">
        <v>346</v>
      </c>
      <c r="I3" s="657" t="s">
        <v>347</v>
      </c>
      <c r="J3" s="777" t="s">
        <v>348</v>
      </c>
      <c r="K3" s="775" t="s">
        <v>349</v>
      </c>
      <c r="L3" s="472"/>
      <c r="M3" s="662" t="s">
        <v>350</v>
      </c>
      <c r="N3" s="657" t="s">
        <v>351</v>
      </c>
      <c r="O3" s="200" t="s">
        <v>146</v>
      </c>
      <c r="P3" s="201" t="s">
        <v>146</v>
      </c>
      <c r="Q3" s="60" t="s">
        <v>352</v>
      </c>
      <c r="R3" s="208" t="str">
        <f>VLOOKUP(Sheet_1_Table_1_134[[#This Row],[Learning Domain]],[6]List!$A$7:$B$12,2,0)</f>
        <v>IED</v>
      </c>
      <c r="S3" s="471">
        <v>20</v>
      </c>
      <c r="T3" s="644">
        <v>0</v>
      </c>
      <c r="U3" s="644">
        <v>0</v>
      </c>
      <c r="V3" s="644">
        <v>0</v>
      </c>
      <c r="W3" s="644">
        <v>0</v>
      </c>
      <c r="X3" s="644">
        <v>0</v>
      </c>
      <c r="Y3" s="644">
        <v>0</v>
      </c>
      <c r="Z3" s="644">
        <v>0</v>
      </c>
      <c r="AA3" s="644">
        <v>80</v>
      </c>
      <c r="AB3" s="53">
        <f>SUM(Sheet_1_Table_1_134[[#This Row],[Leadership LS]:[Career Development  CR]])</f>
        <v>100</v>
      </c>
      <c r="AC3" s="52" t="s">
        <v>199</v>
      </c>
      <c r="AD3" s="209" t="s">
        <v>353</v>
      </c>
      <c r="AE3" s="209" t="s">
        <v>142</v>
      </c>
      <c r="AF3" s="209" t="s">
        <v>146</v>
      </c>
      <c r="AG3" s="209" t="s">
        <v>142</v>
      </c>
      <c r="AH3" s="209">
        <v>2</v>
      </c>
      <c r="AI3" s="55">
        <v>100</v>
      </c>
      <c r="AJ3" s="210">
        <f>Sheet_1_Table_1_134[[#This Row],[ILP Units Per Session]]*Sheet_1_Table_1_134[[#This Row],[Quota]]</f>
        <v>200</v>
      </c>
      <c r="AK3" s="211">
        <v>46286</v>
      </c>
      <c r="AL3" s="165">
        <f>WEEKDAY(Sheet_1_Table_1_134[[#This Row],[Lesson 1 
Date 
(DD-MMM-YYYY)]])</f>
        <v>2</v>
      </c>
      <c r="AM3" s="212">
        <v>0.6875</v>
      </c>
      <c r="AN3" s="213">
        <v>0.77083333333333337</v>
      </c>
      <c r="AO3" s="215" t="s">
        <v>182</v>
      </c>
      <c r="AP3" s="68"/>
      <c r="AQ3" s="64">
        <f>WEEKDAY(Sheet_1_Table_1_134[[#This Row],[Lesson 2
Date 
(DD-MMM-YYYY)]])</f>
        <v>7</v>
      </c>
      <c r="AR3" s="65"/>
      <c r="AS3" s="66"/>
      <c r="AT3" s="66"/>
      <c r="AU3" s="211"/>
      <c r="AV3" s="165">
        <f>WEEKDAY(Sheet_1_Table_1_134[[#This Row],[Lesson 3
Date 
(DD-MMM-YYYY)]])</f>
        <v>7</v>
      </c>
      <c r="AW3" s="212"/>
      <c r="AX3" s="213"/>
      <c r="AY3" s="215"/>
      <c r="AZ3" s="68"/>
      <c r="BA3" s="64">
        <f>WEEKDAY(Sheet_1_Table_1_134[[#This Row],[Lesson 4
Date 
(DD-MMM-YYYY)]])</f>
        <v>7</v>
      </c>
      <c r="BB3" s="65"/>
      <c r="BC3" s="66"/>
      <c r="BD3" s="66"/>
      <c r="BE3" s="211"/>
      <c r="BF3" s="165">
        <f>WEEKDAY(Sheet_1_Table_1_134[[#This Row],[Lesson 5
Date 
(DD-MMM-YYYY)]])</f>
        <v>7</v>
      </c>
      <c r="BG3" s="212"/>
      <c r="BH3" s="213"/>
      <c r="BI3" s="215"/>
      <c r="BJ3" s="68"/>
      <c r="BK3" s="165">
        <f>WEEKDAY(Sheet_1_Table_1_134[[#This Row],[Lesson 6
Date 
(DD-MMM-YYYY)]])</f>
        <v>7</v>
      </c>
      <c r="BL3" s="212"/>
      <c r="BM3" s="213"/>
      <c r="BN3" s="213"/>
      <c r="BO3" s="216" t="s">
        <v>291</v>
      </c>
      <c r="BP3" s="217" t="s">
        <v>354</v>
      </c>
      <c r="BQ3" s="218" t="s">
        <v>355</v>
      </c>
      <c r="BR3" s="219" t="s">
        <v>356</v>
      </c>
      <c r="BS3" s="52"/>
      <c r="BT3" s="218"/>
      <c r="BU3" s="218"/>
      <c r="BV3" s="70"/>
      <c r="BW3" s="60"/>
      <c r="BX3" s="71"/>
      <c r="BY3" s="218" t="s">
        <v>149</v>
      </c>
      <c r="BZ3" s="218"/>
      <c r="CA3" s="218" t="s">
        <v>149</v>
      </c>
      <c r="CB3" s="332" t="s">
        <v>357</v>
      </c>
      <c r="CC3" s="333" t="s">
        <v>358</v>
      </c>
      <c r="CD3" s="334">
        <v>91596435</v>
      </c>
      <c r="CE3" s="222" t="s">
        <v>359</v>
      </c>
      <c r="CF3" s="221" t="s">
        <v>360</v>
      </c>
      <c r="CG3" s="56" t="s">
        <v>361</v>
      </c>
      <c r="CH3" s="57" t="s">
        <v>362</v>
      </c>
      <c r="CI3" s="223"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24"/>
      <c r="DH3" s="224"/>
      <c r="DI3" s="74"/>
      <c r="DJ3" s="75"/>
      <c r="DK3" s="225" t="s">
        <v>146</v>
      </c>
      <c r="DL3" s="225" t="s">
        <v>146</v>
      </c>
      <c r="DM3" s="225"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363</v>
      </c>
      <c r="D4" s="50" t="s">
        <v>250</v>
      </c>
      <c r="E4" s="206">
        <v>5895</v>
      </c>
      <c r="F4" s="471" t="s">
        <v>134</v>
      </c>
      <c r="G4" s="472" t="s">
        <v>345</v>
      </c>
      <c r="H4" s="52"/>
      <c r="I4" s="70"/>
      <c r="J4" s="312" t="s">
        <v>364</v>
      </c>
      <c r="K4" s="60" t="s">
        <v>365</v>
      </c>
      <c r="L4" s="53"/>
      <c r="M4" s="72" t="s">
        <v>366</v>
      </c>
      <c r="N4" s="70" t="s">
        <v>367</v>
      </c>
      <c r="O4" s="226" t="s">
        <v>146</v>
      </c>
      <c r="P4" s="201" t="s">
        <v>146</v>
      </c>
      <c r="Q4" s="60" t="s">
        <v>352</v>
      </c>
      <c r="R4" s="208" t="str">
        <f>VLOOKUP(Sheet_1_Table_1_134[[#This Row],[Learning Domain]],[6]List!$A$7:$B$12,2,0)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9" t="s">
        <v>190</v>
      </c>
      <c r="AE4" s="209" t="s">
        <v>142</v>
      </c>
      <c r="AF4" s="209" t="s">
        <v>146</v>
      </c>
      <c r="AG4" s="209" t="s">
        <v>142</v>
      </c>
      <c r="AH4" s="209">
        <v>1</v>
      </c>
      <c r="AI4" s="178">
        <v>40</v>
      </c>
      <c r="AJ4" s="210">
        <f>Sheet_1_Table_1_134[[#This Row],[ILP Units Per Session]]*Sheet_1_Table_1_134[[#This Row],[Quota]]</f>
        <v>40</v>
      </c>
      <c r="AK4" s="319">
        <v>46286</v>
      </c>
      <c r="AL4" s="64">
        <f>WEEKDAY(Sheet_1_Table_1_134[[#This Row],[Lesson 1 
Date 
(DD-MMM-YYYY)]])</f>
        <v>2</v>
      </c>
      <c r="AM4" s="212">
        <v>0.66666666666666663</v>
      </c>
      <c r="AN4" s="213">
        <v>0.70833333333333337</v>
      </c>
      <c r="AO4" s="214" t="s">
        <v>191</v>
      </c>
      <c r="AP4" s="68"/>
      <c r="AQ4" s="64">
        <f>WEEKDAY(Sheet_1_Table_1_134[[#This Row],[Lesson 2
Date 
(DD-MMM-YYYY)]])</f>
        <v>7</v>
      </c>
      <c r="AR4" s="65"/>
      <c r="AS4" s="66"/>
      <c r="AT4" s="66"/>
      <c r="AU4" s="211"/>
      <c r="AV4" s="165">
        <f>WEEKDAY(Sheet_1_Table_1_134[[#This Row],[Lesson 3
Date 
(DD-MMM-YYYY)]])</f>
        <v>7</v>
      </c>
      <c r="AW4" s="212"/>
      <c r="AX4" s="213"/>
      <c r="AY4" s="215"/>
      <c r="AZ4" s="68"/>
      <c r="BA4" s="64">
        <f>WEEKDAY(Sheet_1_Table_1_134[[#This Row],[Lesson 4
Date 
(DD-MMM-YYYY)]])</f>
        <v>7</v>
      </c>
      <c r="BB4" s="65"/>
      <c r="BC4" s="66"/>
      <c r="BD4" s="66"/>
      <c r="BE4" s="211"/>
      <c r="BF4" s="165">
        <f>WEEKDAY(Sheet_1_Table_1_134[[#This Row],[Lesson 5
Date 
(DD-MMM-YYYY)]])</f>
        <v>7</v>
      </c>
      <c r="BG4" s="212"/>
      <c r="BH4" s="213"/>
      <c r="BI4" s="215"/>
      <c r="BJ4" s="68"/>
      <c r="BK4" s="165">
        <f>WEEKDAY(Sheet_1_Table_1_134[[#This Row],[Lesson 6
Date 
(DD-MMM-YYYY)]])</f>
        <v>7</v>
      </c>
      <c r="BL4" s="212"/>
      <c r="BM4" s="213"/>
      <c r="BN4" s="213"/>
      <c r="BO4" s="216"/>
      <c r="BP4" s="217" t="s">
        <v>368</v>
      </c>
      <c r="BQ4" s="218"/>
      <c r="BR4" s="219"/>
      <c r="BS4" s="52"/>
      <c r="BT4" s="218"/>
      <c r="BU4" s="218"/>
      <c r="BV4" s="70"/>
      <c r="BW4" s="60"/>
      <c r="BX4" s="71"/>
      <c r="BY4" s="218"/>
      <c r="BZ4" s="218"/>
      <c r="CA4" s="218"/>
      <c r="CB4" s="220"/>
      <c r="CC4" s="220"/>
      <c r="CD4" s="221"/>
      <c r="CE4" s="222" t="s">
        <v>359</v>
      </c>
      <c r="CF4" s="221" t="s">
        <v>360</v>
      </c>
      <c r="CG4" s="56" t="s">
        <v>369</v>
      </c>
      <c r="CH4" s="57" t="s">
        <v>370</v>
      </c>
      <c r="CI4" s="223"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371</v>
      </c>
      <c r="D5" s="50" t="s">
        <v>250</v>
      </c>
      <c r="E5" s="51">
        <v>5869</v>
      </c>
      <c r="F5" s="471" t="s">
        <v>134</v>
      </c>
      <c r="G5" s="472" t="s">
        <v>345</v>
      </c>
      <c r="H5" s="199" t="s">
        <v>372</v>
      </c>
      <c r="I5" s="207" t="s">
        <v>373</v>
      </c>
      <c r="J5" s="777" t="s">
        <v>374</v>
      </c>
      <c r="K5" s="775" t="s">
        <v>375</v>
      </c>
      <c r="L5" s="472" t="s">
        <v>376</v>
      </c>
      <c r="M5" s="662" t="s">
        <v>377</v>
      </c>
      <c r="N5" s="776" t="s">
        <v>378</v>
      </c>
      <c r="O5" s="200" t="s">
        <v>146</v>
      </c>
      <c r="P5" s="201" t="s">
        <v>146</v>
      </c>
      <c r="Q5" s="60" t="s">
        <v>352</v>
      </c>
      <c r="R5" s="202" t="str">
        <f>VLOOKUP(Sheet_1_Table_1_134[[#This Row],[Learning Domain]],[6]List!$A$7:$B$12,2,0)</f>
        <v>IED</v>
      </c>
      <c r="S5" s="471">
        <v>20</v>
      </c>
      <c r="T5" s="644">
        <v>10</v>
      </c>
      <c r="U5" s="644">
        <v>0</v>
      </c>
      <c r="V5" s="644">
        <v>0</v>
      </c>
      <c r="W5" s="644">
        <v>0</v>
      </c>
      <c r="X5" s="644">
        <v>0</v>
      </c>
      <c r="Y5" s="644">
        <v>0</v>
      </c>
      <c r="Z5" s="644">
        <v>0</v>
      </c>
      <c r="AA5" s="644">
        <v>70</v>
      </c>
      <c r="AB5" s="53">
        <f>SUM(Sheet_1_Table_1_134[[#This Row],[Leadership LS]:[Career Development  CR]])</f>
        <v>100</v>
      </c>
      <c r="AC5" s="52" t="s">
        <v>199</v>
      </c>
      <c r="AD5" s="55" t="s">
        <v>190</v>
      </c>
      <c r="AE5" s="55" t="s">
        <v>142</v>
      </c>
      <c r="AF5" s="55" t="s">
        <v>146</v>
      </c>
      <c r="AG5" s="55" t="s">
        <v>142</v>
      </c>
      <c r="AH5" s="55">
        <v>2</v>
      </c>
      <c r="AI5" s="178">
        <v>30</v>
      </c>
      <c r="AJ5" s="62">
        <f>Sheet_1_Table_1_134[[#This Row],[ILP Units Per Session]]*Sheet_1_Table_1_134[[#This Row],[Quota]]</f>
        <v>60</v>
      </c>
      <c r="AK5" s="63">
        <v>46287</v>
      </c>
      <c r="AL5" s="165">
        <f>WEEKDAY(Sheet_1_Table_1_134[[#This Row],[Lesson 1 
Date 
(DD-MMM-YYYY)]])</f>
        <v>3</v>
      </c>
      <c r="AM5" s="65">
        <v>0.5625</v>
      </c>
      <c r="AN5" s="66">
        <v>0.64583333333333337</v>
      </c>
      <c r="AO5" s="188" t="s">
        <v>379</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291</v>
      </c>
      <c r="BP5" s="69" t="s">
        <v>380</v>
      </c>
      <c r="BQ5" s="56" t="s">
        <v>381</v>
      </c>
      <c r="BR5" s="57" t="s">
        <v>382</v>
      </c>
      <c r="BS5" s="52"/>
      <c r="BT5" s="69"/>
      <c r="BU5" s="55"/>
      <c r="BV5" s="70"/>
      <c r="BW5" s="60"/>
      <c r="BX5" s="71"/>
      <c r="BY5" s="56" t="s">
        <v>149</v>
      </c>
      <c r="BZ5" s="56"/>
      <c r="CA5" s="56" t="s">
        <v>149</v>
      </c>
      <c r="CB5" s="72"/>
      <c r="CC5" s="72"/>
      <c r="CD5" s="71"/>
      <c r="CE5" s="60" t="s">
        <v>359</v>
      </c>
      <c r="CF5" s="71" t="s">
        <v>360</v>
      </c>
      <c r="CG5" s="56" t="s">
        <v>361</v>
      </c>
      <c r="CH5" s="57" t="s">
        <v>362</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371</v>
      </c>
      <c r="D6" s="50" t="s">
        <v>250</v>
      </c>
      <c r="E6" s="51">
        <v>5870</v>
      </c>
      <c r="F6" s="471" t="s">
        <v>134</v>
      </c>
      <c r="G6" s="472" t="s">
        <v>345</v>
      </c>
      <c r="H6" s="199" t="s">
        <v>372</v>
      </c>
      <c r="I6" s="207" t="s">
        <v>373</v>
      </c>
      <c r="J6" s="774" t="s">
        <v>374</v>
      </c>
      <c r="K6" s="775" t="s">
        <v>375</v>
      </c>
      <c r="L6" s="472" t="s">
        <v>383</v>
      </c>
      <c r="M6" s="662" t="s">
        <v>377</v>
      </c>
      <c r="N6" s="657" t="s">
        <v>378</v>
      </c>
      <c r="O6" s="200" t="s">
        <v>146</v>
      </c>
      <c r="P6" s="201" t="s">
        <v>146</v>
      </c>
      <c r="Q6" s="60" t="s">
        <v>352</v>
      </c>
      <c r="R6" s="208" t="str">
        <f>VLOOKUP(Sheet_1_Table_1_134[[#This Row],[Learning Domain]],[6]List!$A$7:$B$12,2,0)</f>
        <v>IED</v>
      </c>
      <c r="S6" s="471">
        <v>20</v>
      </c>
      <c r="T6" s="644">
        <v>10</v>
      </c>
      <c r="U6" s="644">
        <v>0</v>
      </c>
      <c r="V6" s="644">
        <v>0</v>
      </c>
      <c r="W6" s="644">
        <v>0</v>
      </c>
      <c r="X6" s="644">
        <v>0</v>
      </c>
      <c r="Y6" s="644">
        <v>0</v>
      </c>
      <c r="Z6" s="644">
        <v>0</v>
      </c>
      <c r="AA6" s="64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8"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291</v>
      </c>
      <c r="BP6" s="69" t="s">
        <v>380</v>
      </c>
      <c r="BQ6" s="56" t="s">
        <v>381</v>
      </c>
      <c r="BR6" s="57" t="s">
        <v>382</v>
      </c>
      <c r="BS6" s="52"/>
      <c r="BT6" s="69"/>
      <c r="BU6" s="55"/>
      <c r="BV6" s="70"/>
      <c r="BW6" s="60"/>
      <c r="BX6" s="71"/>
      <c r="BY6" s="56" t="s">
        <v>149</v>
      </c>
      <c r="BZ6" s="56"/>
      <c r="CA6" s="56" t="s">
        <v>149</v>
      </c>
      <c r="CB6" s="72"/>
      <c r="CC6" s="72"/>
      <c r="CD6" s="71"/>
      <c r="CE6" s="60" t="s">
        <v>359</v>
      </c>
      <c r="CF6" s="71" t="s">
        <v>360</v>
      </c>
      <c r="CG6" s="56" t="s">
        <v>361</v>
      </c>
      <c r="CH6" s="57" t="s">
        <v>362</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384</v>
      </c>
      <c r="D7" s="50" t="s">
        <v>250</v>
      </c>
      <c r="E7" s="51">
        <v>5884</v>
      </c>
      <c r="F7" s="471" t="s">
        <v>134</v>
      </c>
      <c r="G7" s="472" t="s">
        <v>345</v>
      </c>
      <c r="H7" s="778" t="s">
        <v>346</v>
      </c>
      <c r="I7" s="657" t="s">
        <v>347</v>
      </c>
      <c r="J7" s="774"/>
      <c r="K7" s="775" t="s">
        <v>385</v>
      </c>
      <c r="L7" s="472"/>
      <c r="M7" s="662" t="s">
        <v>386</v>
      </c>
      <c r="N7" s="657" t="s">
        <v>387</v>
      </c>
      <c r="O7" s="200" t="s">
        <v>146</v>
      </c>
      <c r="P7" s="201" t="s">
        <v>146</v>
      </c>
      <c r="Q7" s="60" t="s">
        <v>352</v>
      </c>
      <c r="R7" s="208" t="str">
        <f>VLOOKUP(Sheet_1_Table_1_134[[#This Row],[Learning Domain]],[6]List!$A$7:$B$12,2,0)</f>
        <v>IED</v>
      </c>
      <c r="S7" s="471">
        <v>30</v>
      </c>
      <c r="T7" s="644">
        <v>0</v>
      </c>
      <c r="U7" s="644">
        <v>0</v>
      </c>
      <c r="V7" s="644">
        <v>0</v>
      </c>
      <c r="W7" s="644">
        <v>0</v>
      </c>
      <c r="X7" s="644">
        <v>0</v>
      </c>
      <c r="Y7" s="644">
        <v>0</v>
      </c>
      <c r="Z7" s="644">
        <v>0</v>
      </c>
      <c r="AA7" s="64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8"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388</v>
      </c>
      <c r="BS7" s="52"/>
      <c r="BT7" s="56"/>
      <c r="BU7" s="56"/>
      <c r="BV7" s="70"/>
      <c r="BW7" s="60"/>
      <c r="BX7" s="71"/>
      <c r="BY7" s="56"/>
      <c r="BZ7" s="56"/>
      <c r="CA7" s="56"/>
      <c r="CB7" s="72"/>
      <c r="CC7" s="72"/>
      <c r="CD7" s="71"/>
      <c r="CE7" s="60" t="s">
        <v>359</v>
      </c>
      <c r="CF7" s="71" t="s">
        <v>360</v>
      </c>
      <c r="CG7" s="56" t="s">
        <v>361</v>
      </c>
      <c r="CH7" s="57" t="s">
        <v>362</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389</v>
      </c>
      <c r="D8" s="50" t="s">
        <v>133</v>
      </c>
      <c r="E8" s="51">
        <v>5888</v>
      </c>
      <c r="F8" s="471" t="s">
        <v>134</v>
      </c>
      <c r="G8" s="472" t="s">
        <v>345</v>
      </c>
      <c r="H8" s="560" t="s">
        <v>346</v>
      </c>
      <c r="I8" s="657" t="s">
        <v>347</v>
      </c>
      <c r="J8" s="774" t="s">
        <v>390</v>
      </c>
      <c r="K8" s="775" t="s">
        <v>391</v>
      </c>
      <c r="L8" s="472" t="s">
        <v>392</v>
      </c>
      <c r="M8" s="662" t="s">
        <v>393</v>
      </c>
      <c r="N8" s="657" t="s">
        <v>394</v>
      </c>
      <c r="O8" s="228" t="s">
        <v>142</v>
      </c>
      <c r="P8" s="229" t="s">
        <v>142</v>
      </c>
      <c r="Q8" s="60" t="s">
        <v>352</v>
      </c>
      <c r="R8" s="202" t="str">
        <f>VLOOKUP(Sheet_1_Table_1_134[[#This Row],[Learning Domain]],[6]List!$A$7:$B$12,2,0)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8" t="s">
        <v>190</v>
      </c>
      <c r="AE8" s="55" t="s">
        <v>146</v>
      </c>
      <c r="AF8" s="55" t="s">
        <v>142</v>
      </c>
      <c r="AG8" s="55" t="s">
        <v>142</v>
      </c>
      <c r="AH8" s="178">
        <v>1.5</v>
      </c>
      <c r="AI8" s="178">
        <v>25</v>
      </c>
      <c r="AJ8" s="62">
        <f>Sheet_1_Table_1_134[[#This Row],[ILP Units Per Session]]*Sheet_1_Table_1_134[[#This Row],[Quota]]</f>
        <v>37.5</v>
      </c>
      <c r="AK8" s="63">
        <v>46288</v>
      </c>
      <c r="AL8" s="64">
        <f>WEEKDAY(Sheet_1_Table_1_134[[#This Row],[Lesson 1 
Date 
(DD-MMM-YYYY)]])</f>
        <v>4</v>
      </c>
      <c r="AM8" s="65">
        <v>0.79166666666666663</v>
      </c>
      <c r="AN8" s="66">
        <v>0.875</v>
      </c>
      <c r="AO8" s="188" t="s">
        <v>395</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396</v>
      </c>
      <c r="BQ8" s="56"/>
      <c r="BR8" s="57"/>
      <c r="BS8" s="52"/>
      <c r="BT8" s="56"/>
      <c r="BU8" s="56"/>
      <c r="BV8" s="70"/>
      <c r="BW8" s="60"/>
      <c r="BX8" s="71"/>
      <c r="BY8" s="56"/>
      <c r="BZ8" s="56"/>
      <c r="CA8" s="56"/>
      <c r="CB8" s="72"/>
      <c r="CC8" s="72"/>
      <c r="CD8" s="71"/>
      <c r="CE8" s="60" t="s">
        <v>359</v>
      </c>
      <c r="CF8" s="71" t="s">
        <v>360</v>
      </c>
      <c r="CG8" s="56" t="s">
        <v>397</v>
      </c>
      <c r="CH8" s="57" t="s">
        <v>398</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399</v>
      </c>
      <c r="D9" s="50" t="s">
        <v>250</v>
      </c>
      <c r="E9" s="51">
        <v>5919</v>
      </c>
      <c r="F9" s="471" t="s">
        <v>134</v>
      </c>
      <c r="G9" s="472" t="s">
        <v>345</v>
      </c>
      <c r="H9" s="80" t="s">
        <v>346</v>
      </c>
      <c r="I9" s="70" t="s">
        <v>400</v>
      </c>
      <c r="J9" s="232"/>
      <c r="K9" s="141" t="s">
        <v>401</v>
      </c>
      <c r="L9" s="53"/>
      <c r="M9" s="72" t="s">
        <v>402</v>
      </c>
      <c r="N9" s="70" t="s">
        <v>403</v>
      </c>
      <c r="O9" s="200" t="s">
        <v>146</v>
      </c>
      <c r="P9" s="201" t="s">
        <v>146</v>
      </c>
      <c r="Q9" s="60" t="s">
        <v>352</v>
      </c>
      <c r="R9" s="202" t="str">
        <f>VLOOKUP(Sheet_1_Table_1_134[[#This Row],[Learning Domain]],[6]List!$A$7:$B$12,2,0)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14" t="s">
        <v>404</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405</v>
      </c>
      <c r="BQ9" s="56" t="s">
        <v>406</v>
      </c>
      <c r="BR9" s="57" t="s">
        <v>407</v>
      </c>
      <c r="BS9" s="52" t="s">
        <v>163</v>
      </c>
      <c r="BT9" s="56" t="s">
        <v>408</v>
      </c>
      <c r="BU9" s="56" t="s">
        <v>409</v>
      </c>
      <c r="BV9" s="70" t="s">
        <v>410</v>
      </c>
      <c r="BW9" s="60"/>
      <c r="BX9" s="71"/>
      <c r="BY9" s="56"/>
      <c r="BZ9" s="56"/>
      <c r="CA9" s="56"/>
      <c r="CB9" s="72"/>
      <c r="CC9" s="72"/>
      <c r="CD9" s="71"/>
      <c r="CE9" s="60" t="s">
        <v>411</v>
      </c>
      <c r="CF9" s="71" t="s">
        <v>412</v>
      </c>
      <c r="CG9" s="56" t="s">
        <v>413</v>
      </c>
      <c r="CH9" s="301" t="s">
        <v>414</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415</v>
      </c>
      <c r="D10" s="50" t="s">
        <v>250</v>
      </c>
      <c r="E10" s="51">
        <v>5918</v>
      </c>
      <c r="F10" s="471" t="s">
        <v>134</v>
      </c>
      <c r="G10" s="472" t="s">
        <v>345</v>
      </c>
      <c r="H10" s="307" t="s">
        <v>416</v>
      </c>
      <c r="I10" s="311" t="s">
        <v>417</v>
      </c>
      <c r="J10" s="232" t="s">
        <v>418</v>
      </c>
      <c r="K10" s="141" t="s">
        <v>419</v>
      </c>
      <c r="L10" s="53"/>
      <c r="M10" s="72" t="s">
        <v>420</v>
      </c>
      <c r="N10" s="70" t="s">
        <v>421</v>
      </c>
      <c r="O10" s="200" t="s">
        <v>146</v>
      </c>
      <c r="P10" s="201" t="s">
        <v>146</v>
      </c>
      <c r="Q10" s="60" t="s">
        <v>352</v>
      </c>
      <c r="R10" s="208" t="str">
        <f>VLOOKUP(Sheet_1_Table_1_134[[#This Row],[Learning Domain]],[6]List!$A$7:$B$12,2,0)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6">
        <v>0.64583333333333337</v>
      </c>
      <c r="AN10" s="187">
        <v>0.72916666666666663</v>
      </c>
      <c r="AO10" s="188"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291</v>
      </c>
      <c r="BP10" s="69" t="s">
        <v>422</v>
      </c>
      <c r="BQ10" s="56" t="s">
        <v>423</v>
      </c>
      <c r="BR10" s="57" t="s">
        <v>424</v>
      </c>
      <c r="BS10" s="52"/>
      <c r="BT10" s="56"/>
      <c r="BU10" s="56"/>
      <c r="BV10" s="70"/>
      <c r="BW10" s="60"/>
      <c r="BX10" s="71"/>
      <c r="BY10" s="56"/>
      <c r="BZ10" s="56"/>
      <c r="CA10" s="56"/>
      <c r="CB10" s="72"/>
      <c r="CC10" s="72"/>
      <c r="CD10" s="71"/>
      <c r="CE10" s="60" t="s">
        <v>359</v>
      </c>
      <c r="CF10" s="71" t="s">
        <v>360</v>
      </c>
      <c r="CG10" s="56" t="s">
        <v>413</v>
      </c>
      <c r="CH10" s="301" t="s">
        <v>414</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425</v>
      </c>
      <c r="D11" s="50" t="s">
        <v>250</v>
      </c>
      <c r="E11" s="51">
        <v>5871</v>
      </c>
      <c r="F11" s="471" t="s">
        <v>134</v>
      </c>
      <c r="G11" s="472" t="s">
        <v>345</v>
      </c>
      <c r="H11" s="199" t="s">
        <v>346</v>
      </c>
      <c r="I11" s="657" t="s">
        <v>347</v>
      </c>
      <c r="J11" s="774" t="s">
        <v>426</v>
      </c>
      <c r="K11" s="775" t="s">
        <v>427</v>
      </c>
      <c r="L11" s="472"/>
      <c r="M11" s="662" t="s">
        <v>428</v>
      </c>
      <c r="N11" s="657" t="s">
        <v>429</v>
      </c>
      <c r="O11" s="200" t="s">
        <v>146</v>
      </c>
      <c r="P11" s="201" t="s">
        <v>146</v>
      </c>
      <c r="Q11" s="60" t="s">
        <v>352</v>
      </c>
      <c r="R11" s="202" t="str">
        <f>VLOOKUP(Sheet_1_Table_1_134[[#This Row],[Learning Domain]],[6]List!$A$7:$B$12,2,0)</f>
        <v>IED</v>
      </c>
      <c r="S11" s="471">
        <v>0</v>
      </c>
      <c r="T11" s="644">
        <v>0</v>
      </c>
      <c r="U11" s="644">
        <v>0</v>
      </c>
      <c r="V11" s="644">
        <v>0</v>
      </c>
      <c r="W11" s="644">
        <v>0</v>
      </c>
      <c r="X11" s="644">
        <v>0</v>
      </c>
      <c r="Y11" s="644">
        <v>0</v>
      </c>
      <c r="Z11" s="644">
        <v>0</v>
      </c>
      <c r="AA11" s="644">
        <v>100</v>
      </c>
      <c r="AB11" s="53">
        <f>SUM(Sheet_1_Table_1_134[[#This Row],[Leadership LS]:[Career Development  CR]])</f>
        <v>100</v>
      </c>
      <c r="AC11" s="52" t="s">
        <v>199</v>
      </c>
      <c r="AD11" s="55" t="s">
        <v>353</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291</v>
      </c>
      <c r="BP11" s="69" t="s">
        <v>354</v>
      </c>
      <c r="BQ11" s="56" t="s">
        <v>355</v>
      </c>
      <c r="BR11" s="57" t="s">
        <v>356</v>
      </c>
      <c r="BS11" s="52"/>
      <c r="BT11" s="56"/>
      <c r="BU11" s="56"/>
      <c r="BV11" s="70"/>
      <c r="BW11" s="60"/>
      <c r="BX11" s="71"/>
      <c r="BY11" s="56" t="s">
        <v>184</v>
      </c>
      <c r="BZ11" s="56"/>
      <c r="CA11" s="56" t="s">
        <v>184</v>
      </c>
      <c r="CB11" s="203" t="s">
        <v>430</v>
      </c>
      <c r="CC11" s="203" t="s">
        <v>431</v>
      </c>
      <c r="CD11" s="204">
        <v>22561039</v>
      </c>
      <c r="CE11" s="60" t="s">
        <v>359</v>
      </c>
      <c r="CF11" s="71" t="s">
        <v>360</v>
      </c>
      <c r="CG11" s="56" t="s">
        <v>361</v>
      </c>
      <c r="CH11" s="57" t="s">
        <v>362</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432</v>
      </c>
      <c r="D12" s="50" t="s">
        <v>174</v>
      </c>
      <c r="E12" s="51">
        <v>5880</v>
      </c>
      <c r="F12" s="471" t="s">
        <v>134</v>
      </c>
      <c r="G12" s="472" t="s">
        <v>345</v>
      </c>
      <c r="H12" s="471" t="s">
        <v>433</v>
      </c>
      <c r="I12" s="657" t="s">
        <v>434</v>
      </c>
      <c r="J12" s="774" t="s">
        <v>435</v>
      </c>
      <c r="K12" s="775" t="s">
        <v>436</v>
      </c>
      <c r="L12" s="472"/>
      <c r="M12" s="662" t="s">
        <v>437</v>
      </c>
      <c r="N12" s="657" t="s">
        <v>438</v>
      </c>
      <c r="O12" s="200" t="s">
        <v>146</v>
      </c>
      <c r="P12" s="201" t="s">
        <v>146</v>
      </c>
      <c r="Q12" s="60" t="s">
        <v>352</v>
      </c>
      <c r="R12" s="208" t="str">
        <f>VLOOKUP(Sheet_1_Table_1_134[[#This Row],[Learning Domain]],[6]List!$A$7:$B$12,2,0)</f>
        <v>IED</v>
      </c>
      <c r="S12" s="471">
        <v>0</v>
      </c>
      <c r="T12" s="644">
        <v>0</v>
      </c>
      <c r="U12" s="644">
        <v>0</v>
      </c>
      <c r="V12" s="644">
        <v>0</v>
      </c>
      <c r="W12" s="644">
        <v>0</v>
      </c>
      <c r="X12" s="644">
        <v>0</v>
      </c>
      <c r="Y12" s="644">
        <v>50</v>
      </c>
      <c r="Z12" s="644">
        <v>0</v>
      </c>
      <c r="AA12" s="644">
        <v>50</v>
      </c>
      <c r="AB12" s="53">
        <f>SUM(Sheet_1_Table_1_134[[#This Row],[Leadership LS]:[Career Development  CR]])</f>
        <v>100</v>
      </c>
      <c r="AC12" s="52" t="s">
        <v>144</v>
      </c>
      <c r="AD12" s="55" t="s">
        <v>353</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439</v>
      </c>
      <c r="BQ12" s="56" t="s">
        <v>440</v>
      </c>
      <c r="BR12" s="57" t="s">
        <v>441</v>
      </c>
      <c r="BS12" s="52"/>
      <c r="BT12" s="56"/>
      <c r="BU12" s="56"/>
      <c r="BV12" s="70"/>
      <c r="BW12" s="60"/>
      <c r="BX12" s="71"/>
      <c r="BY12" s="56"/>
      <c r="BZ12" s="56"/>
      <c r="CA12" s="56"/>
      <c r="CB12" s="203" t="s">
        <v>442</v>
      </c>
      <c r="CC12" s="203" t="s">
        <v>443</v>
      </c>
      <c r="CD12" s="204">
        <v>28136854</v>
      </c>
      <c r="CE12" s="60" t="s">
        <v>359</v>
      </c>
      <c r="CF12" s="71" t="s">
        <v>360</v>
      </c>
      <c r="CG12" s="56" t="s">
        <v>361</v>
      </c>
      <c r="CH12" s="57" t="s">
        <v>362</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444</v>
      </c>
      <c r="D13" s="50" t="s">
        <v>174</v>
      </c>
      <c r="E13" s="51">
        <v>5877</v>
      </c>
      <c r="F13" s="471" t="s">
        <v>134</v>
      </c>
      <c r="G13" s="472" t="s">
        <v>345</v>
      </c>
      <c r="H13" s="471" t="s">
        <v>346</v>
      </c>
      <c r="I13" s="657" t="s">
        <v>347</v>
      </c>
      <c r="J13" s="774" t="s">
        <v>445</v>
      </c>
      <c r="K13" s="775" t="s">
        <v>446</v>
      </c>
      <c r="L13" s="472"/>
      <c r="M13" s="662" t="s">
        <v>447</v>
      </c>
      <c r="N13" s="657" t="s">
        <v>448</v>
      </c>
      <c r="O13" s="200" t="s">
        <v>146</v>
      </c>
      <c r="P13" s="201" t="s">
        <v>146</v>
      </c>
      <c r="Q13" s="60" t="s">
        <v>352</v>
      </c>
      <c r="R13" s="202" t="str">
        <f>VLOOKUP(Sheet_1_Table_1_134[[#This Row],[Learning Domain]],[6]List!$A$7:$B$12,2,0)</f>
        <v>IED</v>
      </c>
      <c r="S13" s="471">
        <v>30</v>
      </c>
      <c r="T13" s="644">
        <v>0</v>
      </c>
      <c r="U13" s="644">
        <v>0</v>
      </c>
      <c r="V13" s="644">
        <v>0</v>
      </c>
      <c r="W13" s="644">
        <v>0</v>
      </c>
      <c r="X13" s="644">
        <v>0</v>
      </c>
      <c r="Y13" s="644">
        <v>0</v>
      </c>
      <c r="Z13" s="644">
        <v>0</v>
      </c>
      <c r="AA13" s="644">
        <v>70</v>
      </c>
      <c r="AB13" s="53">
        <f>SUM(Sheet_1_Table_1_134[[#This Row],[Leadership LS]:[Career Development  CR]])</f>
        <v>100</v>
      </c>
      <c r="AC13" s="97" t="s">
        <v>144</v>
      </c>
      <c r="AD13" s="55" t="s">
        <v>353</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291</v>
      </c>
      <c r="BP13" s="69" t="s">
        <v>449</v>
      </c>
      <c r="BQ13" s="56" t="s">
        <v>381</v>
      </c>
      <c r="BR13" s="57" t="s">
        <v>450</v>
      </c>
      <c r="BS13" s="54"/>
      <c r="BT13" s="56"/>
      <c r="BU13" s="56"/>
      <c r="BV13" s="57"/>
      <c r="BW13" s="60"/>
      <c r="BX13" s="195"/>
      <c r="BY13" s="56" t="s">
        <v>184</v>
      </c>
      <c r="BZ13" s="56"/>
      <c r="CA13" s="56" t="s">
        <v>184</v>
      </c>
      <c r="CB13" s="203" t="s">
        <v>451</v>
      </c>
      <c r="CC13" s="203" t="s">
        <v>452</v>
      </c>
      <c r="CD13" s="203">
        <v>34627709</v>
      </c>
      <c r="CE13" s="60" t="s">
        <v>359</v>
      </c>
      <c r="CF13" s="72" t="s">
        <v>360</v>
      </c>
      <c r="CG13" s="56" t="s">
        <v>361</v>
      </c>
      <c r="CH13" s="57" t="s">
        <v>362</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453</v>
      </c>
      <c r="D14" s="50" t="s">
        <v>174</v>
      </c>
      <c r="E14" s="51">
        <v>5915</v>
      </c>
      <c r="F14" s="471" t="s">
        <v>134</v>
      </c>
      <c r="G14" s="472" t="s">
        <v>345</v>
      </c>
      <c r="H14" s="97" t="s">
        <v>372</v>
      </c>
      <c r="I14" s="57" t="s">
        <v>373</v>
      </c>
      <c r="J14" s="232" t="s">
        <v>454</v>
      </c>
      <c r="K14" s="141" t="s">
        <v>455</v>
      </c>
      <c r="L14" s="53"/>
      <c r="M14" s="72" t="s">
        <v>456</v>
      </c>
      <c r="N14" s="70" t="s">
        <v>457</v>
      </c>
      <c r="O14" s="200" t="s">
        <v>146</v>
      </c>
      <c r="P14" s="201" t="s">
        <v>146</v>
      </c>
      <c r="Q14" s="60" t="s">
        <v>352</v>
      </c>
      <c r="R14" s="208" t="str">
        <f>VLOOKUP(Sheet_1_Table_1_134[[#This Row],[Learning Domain]],[6]List!$A$7:$B$12,2,0)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93">
        <v>46300</v>
      </c>
      <c r="AL14" s="64">
        <f>WEEKDAY(Sheet_1_Table_1_134[[#This Row],[Lesson 1 
Date 
(DD-MMM-YYYY)]])</f>
        <v>2</v>
      </c>
      <c r="AM14" s="65">
        <v>0.70833333333333337</v>
      </c>
      <c r="AN14" s="66">
        <v>0.75</v>
      </c>
      <c r="AO14" s="188" t="s">
        <v>458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291</v>
      </c>
      <c r="BP14" s="69" t="s">
        <v>459</v>
      </c>
      <c r="BQ14" s="56" t="s">
        <v>406</v>
      </c>
      <c r="BR14" s="57" t="s">
        <v>460</v>
      </c>
      <c r="BS14" s="54"/>
      <c r="BT14" s="56"/>
      <c r="BU14" s="56"/>
      <c r="BV14" s="57"/>
      <c r="BW14" s="60"/>
      <c r="BX14" s="195"/>
      <c r="BY14" s="56"/>
      <c r="BZ14" s="56"/>
      <c r="CA14" s="56"/>
      <c r="CB14" s="72"/>
      <c r="CC14" s="72"/>
      <c r="CD14" s="72"/>
      <c r="CE14" s="60" t="s">
        <v>461</v>
      </c>
      <c r="CF14" s="72" t="s">
        <v>151</v>
      </c>
      <c r="CG14" s="69" t="s">
        <v>270</v>
      </c>
      <c r="CH14" s="137" t="s">
        <v>271</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462</v>
      </c>
      <c r="D15" s="50" t="s">
        <v>174</v>
      </c>
      <c r="E15" s="51">
        <v>5898</v>
      </c>
      <c r="F15" s="471" t="s">
        <v>134</v>
      </c>
      <c r="G15" s="472" t="s">
        <v>345</v>
      </c>
      <c r="H15" s="778" t="s">
        <v>346</v>
      </c>
      <c r="I15" s="645" t="s">
        <v>347</v>
      </c>
      <c r="J15" s="774"/>
      <c r="K15" s="775" t="s">
        <v>463</v>
      </c>
      <c r="L15" s="472" t="s">
        <v>392</v>
      </c>
      <c r="M15" s="72" t="s">
        <v>464</v>
      </c>
      <c r="N15" s="70" t="s">
        <v>465</v>
      </c>
      <c r="O15" s="200" t="s">
        <v>146</v>
      </c>
      <c r="P15" s="201" t="s">
        <v>146</v>
      </c>
      <c r="Q15" s="60" t="s">
        <v>352</v>
      </c>
      <c r="R15" s="202" t="str">
        <f>VLOOKUP(Sheet_1_Table_1_134[[#This Row],[Learning Domain]],[6]List!$A$7:$B$12,2,0)</f>
        <v>IED</v>
      </c>
      <c r="S15" s="471">
        <v>0</v>
      </c>
      <c r="T15" s="644">
        <v>0</v>
      </c>
      <c r="U15" s="644">
        <v>0</v>
      </c>
      <c r="V15" s="644">
        <v>0</v>
      </c>
      <c r="W15" s="644">
        <v>0</v>
      </c>
      <c r="X15" s="644">
        <v>0</v>
      </c>
      <c r="Y15" s="644">
        <v>0</v>
      </c>
      <c r="Z15" s="644">
        <v>0</v>
      </c>
      <c r="AA15" s="644">
        <v>100</v>
      </c>
      <c r="AB15" s="53">
        <f>SUM(Sheet_1_Table_1_134[[#This Row],[Leadership LS]:[Career Development  CR]])</f>
        <v>100</v>
      </c>
      <c r="AC15" s="97" t="s">
        <v>199</v>
      </c>
      <c r="AD15" s="55" t="s">
        <v>190</v>
      </c>
      <c r="AE15" s="55" t="s">
        <v>146</v>
      </c>
      <c r="AF15" s="55" t="s">
        <v>142</v>
      </c>
      <c r="AG15" s="55" t="s">
        <v>142</v>
      </c>
      <c r="AH15" s="55">
        <v>1</v>
      </c>
      <c r="AI15" s="178">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8" t="s">
        <v>466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291</v>
      </c>
      <c r="BP15" s="69" t="s">
        <v>467</v>
      </c>
      <c r="BQ15" s="56" t="s">
        <v>468</v>
      </c>
      <c r="BR15" s="57" t="s">
        <v>469</v>
      </c>
      <c r="BS15" s="54"/>
      <c r="BT15" s="56"/>
      <c r="BU15" s="56"/>
      <c r="BV15" s="57"/>
      <c r="BW15" s="60"/>
      <c r="BX15" s="195"/>
      <c r="BY15" s="56"/>
      <c r="BZ15" s="56"/>
      <c r="CA15" s="56"/>
      <c r="CB15" s="72"/>
      <c r="CC15" s="72"/>
      <c r="CD15" s="72"/>
      <c r="CE15" s="60" t="s">
        <v>359</v>
      </c>
      <c r="CF15" s="72" t="s">
        <v>360</v>
      </c>
      <c r="CG15" s="56" t="s">
        <v>270</v>
      </c>
      <c r="CH15" s="57" t="s">
        <v>271</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470</v>
      </c>
      <c r="D16" s="50" t="s">
        <v>174</v>
      </c>
      <c r="E16" s="51">
        <v>5900</v>
      </c>
      <c r="F16" s="471" t="s">
        <v>134</v>
      </c>
      <c r="G16" s="472" t="s">
        <v>345</v>
      </c>
      <c r="H16" s="778" t="s">
        <v>346</v>
      </c>
      <c r="I16" s="645" t="s">
        <v>347</v>
      </c>
      <c r="J16" s="774"/>
      <c r="K16" s="775" t="s">
        <v>471</v>
      </c>
      <c r="L16" s="472" t="s">
        <v>392</v>
      </c>
      <c r="M16" s="72" t="s">
        <v>472</v>
      </c>
      <c r="N16" s="70" t="s">
        <v>473</v>
      </c>
      <c r="O16" s="200" t="s">
        <v>146</v>
      </c>
      <c r="P16" s="201" t="s">
        <v>146</v>
      </c>
      <c r="Q16" s="60" t="s">
        <v>352</v>
      </c>
      <c r="R16" s="208" t="str">
        <f>VLOOKUP(Sheet_1_Table_1_134[[#This Row],[Learning Domain]],[6]List!$A$7:$B$12,2,0)</f>
        <v>IED</v>
      </c>
      <c r="S16" s="471">
        <v>0</v>
      </c>
      <c r="T16" s="644">
        <v>0</v>
      </c>
      <c r="U16" s="644">
        <v>0</v>
      </c>
      <c r="V16" s="644">
        <v>0</v>
      </c>
      <c r="W16" s="644">
        <v>0</v>
      </c>
      <c r="X16" s="644">
        <v>0</v>
      </c>
      <c r="Y16" s="644">
        <v>0</v>
      </c>
      <c r="Z16" s="644">
        <v>0</v>
      </c>
      <c r="AA16" s="644">
        <v>100</v>
      </c>
      <c r="AB16" s="53">
        <f>SUM(Sheet_1_Table_1_134[[#This Row],[Leadership LS]:[Career Development  CR]])</f>
        <v>100</v>
      </c>
      <c r="AC16" s="97" t="s">
        <v>199</v>
      </c>
      <c r="AD16" s="55" t="s">
        <v>190</v>
      </c>
      <c r="AE16" s="55" t="s">
        <v>146</v>
      </c>
      <c r="AF16" s="55" t="s">
        <v>142</v>
      </c>
      <c r="AG16" s="55" t="s">
        <v>142</v>
      </c>
      <c r="AH16" s="55">
        <v>1</v>
      </c>
      <c r="AI16" s="178">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8" t="s">
        <v>466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291</v>
      </c>
      <c r="BP16" s="69" t="s">
        <v>467</v>
      </c>
      <c r="BQ16" s="56" t="s">
        <v>468</v>
      </c>
      <c r="BR16" s="57" t="s">
        <v>469</v>
      </c>
      <c r="BS16" s="54"/>
      <c r="BT16" s="56"/>
      <c r="BU16" s="56"/>
      <c r="BV16" s="57"/>
      <c r="BW16" s="60"/>
      <c r="BX16" s="195"/>
      <c r="BY16" s="56"/>
      <c r="BZ16" s="56"/>
      <c r="CA16" s="56"/>
      <c r="CB16" s="72"/>
      <c r="CC16" s="72"/>
      <c r="CD16" s="72"/>
      <c r="CE16" s="60" t="s">
        <v>359</v>
      </c>
      <c r="CF16" s="72" t="s">
        <v>360</v>
      </c>
      <c r="CG16" s="56" t="s">
        <v>270</v>
      </c>
      <c r="CH16" s="57" t="s">
        <v>271</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474</v>
      </c>
      <c r="D17" s="50" t="s">
        <v>174</v>
      </c>
      <c r="E17" s="51">
        <v>5890</v>
      </c>
      <c r="F17" s="471" t="s">
        <v>134</v>
      </c>
      <c r="G17" s="472" t="s">
        <v>345</v>
      </c>
      <c r="H17" s="778" t="s">
        <v>346</v>
      </c>
      <c r="I17" s="645" t="s">
        <v>347</v>
      </c>
      <c r="J17" s="774" t="s">
        <v>390</v>
      </c>
      <c r="K17" s="775" t="s">
        <v>391</v>
      </c>
      <c r="L17" s="472" t="s">
        <v>475</v>
      </c>
      <c r="M17" s="662" t="s">
        <v>393</v>
      </c>
      <c r="N17" s="657" t="s">
        <v>476</v>
      </c>
      <c r="O17" s="230" t="s">
        <v>146</v>
      </c>
      <c r="P17" s="53" t="s">
        <v>146</v>
      </c>
      <c r="Q17" s="60" t="s">
        <v>352</v>
      </c>
      <c r="R17" s="208" t="str">
        <f>VLOOKUP(Sheet_1_Table_1_134[[#This Row],[Learning Domain]],[6]List!$A$7:$B$12,2,0)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353</v>
      </c>
      <c r="AE17" s="55" t="s">
        <v>146</v>
      </c>
      <c r="AF17" s="55" t="s">
        <v>142</v>
      </c>
      <c r="AG17" s="55" t="s">
        <v>142</v>
      </c>
      <c r="AH17" s="178">
        <v>1</v>
      </c>
      <c r="AI17" s="55">
        <v>100</v>
      </c>
      <c r="AJ17" s="62">
        <f>Sheet_1_Table_1_134[[#This Row],[ILP Units Per Session]]*Sheet_1_Table_1_134[[#This Row],[Quota]]</f>
        <v>100</v>
      </c>
      <c r="AK17" s="184">
        <v>46302</v>
      </c>
      <c r="AL17" s="64">
        <f>WEEKDAY(Sheet_1_Table_1_134[[#This Row],[Lesson 1 
Date 
(DD-MMM-YYYY)]])</f>
        <v>4</v>
      </c>
      <c r="AM17" s="65">
        <v>0.79166666666666663</v>
      </c>
      <c r="AN17" s="66">
        <v>0.875</v>
      </c>
      <c r="AO17" s="67" t="s">
        <v>477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396</v>
      </c>
      <c r="BQ17" s="56"/>
      <c r="BR17" s="57"/>
      <c r="BS17" s="54"/>
      <c r="BT17" s="56"/>
      <c r="BU17" s="56"/>
      <c r="BV17" s="57"/>
      <c r="BW17" s="60"/>
      <c r="BX17" s="195"/>
      <c r="BY17" s="56"/>
      <c r="BZ17" s="56"/>
      <c r="CA17" s="56"/>
      <c r="CB17" s="203" t="s">
        <v>478</v>
      </c>
      <c r="CC17" s="203" t="s">
        <v>479</v>
      </c>
      <c r="CD17" s="203">
        <v>18514324</v>
      </c>
      <c r="CE17" s="60" t="s">
        <v>359</v>
      </c>
      <c r="CF17" s="71" t="s">
        <v>360</v>
      </c>
      <c r="CG17" s="56" t="s">
        <v>397</v>
      </c>
      <c r="CH17" s="57" t="s">
        <v>398</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31">
        <v>17</v>
      </c>
      <c r="B18" s="49">
        <v>202609</v>
      </c>
      <c r="C18" s="50" t="s">
        <v>480</v>
      </c>
      <c r="D18" s="50" t="s">
        <v>174</v>
      </c>
      <c r="E18" s="51">
        <v>5902</v>
      </c>
      <c r="F18" s="471" t="s">
        <v>134</v>
      </c>
      <c r="G18" s="472" t="s">
        <v>345</v>
      </c>
      <c r="H18" s="778" t="s">
        <v>346</v>
      </c>
      <c r="I18" s="645" t="s">
        <v>347</v>
      </c>
      <c r="J18" s="774"/>
      <c r="K18" s="775" t="s">
        <v>481</v>
      </c>
      <c r="L18" s="472"/>
      <c r="M18" s="72" t="s">
        <v>482</v>
      </c>
      <c r="N18" s="70" t="s">
        <v>483</v>
      </c>
      <c r="O18" s="200" t="s">
        <v>146</v>
      </c>
      <c r="P18" s="201" t="s">
        <v>146</v>
      </c>
      <c r="Q18" s="60" t="s">
        <v>352</v>
      </c>
      <c r="R18" s="202" t="str">
        <f>VLOOKUP(Sheet_1_Table_1_134[[#This Row],[Learning Domain]],[6]List!$A$7:$B$12,2,0)</f>
        <v>IED</v>
      </c>
      <c r="S18" s="471">
        <v>0</v>
      </c>
      <c r="T18" s="644">
        <v>0</v>
      </c>
      <c r="U18" s="644">
        <v>0</v>
      </c>
      <c r="V18" s="644">
        <v>0</v>
      </c>
      <c r="W18" s="644">
        <v>0</v>
      </c>
      <c r="X18" s="644">
        <v>0</v>
      </c>
      <c r="Y18" s="644">
        <v>0</v>
      </c>
      <c r="Z18" s="644">
        <v>0</v>
      </c>
      <c r="AA18" s="644">
        <v>100</v>
      </c>
      <c r="AB18" s="53">
        <f>SUM(Sheet_1_Table_1_134[[#This Row],[Leadership LS]:[Career Development  CR]])</f>
        <v>100</v>
      </c>
      <c r="AC18" s="97" t="s">
        <v>199</v>
      </c>
      <c r="AD18" s="55" t="s">
        <v>190</v>
      </c>
      <c r="AE18" s="55" t="s">
        <v>146</v>
      </c>
      <c r="AF18" s="55" t="s">
        <v>142</v>
      </c>
      <c r="AG18" s="55" t="s">
        <v>142</v>
      </c>
      <c r="AH18" s="55">
        <v>1</v>
      </c>
      <c r="AI18" s="178">
        <v>40</v>
      </c>
      <c r="AJ18" s="62">
        <f>Sheet_1_Table_1_134[[#This Row],[ILP Units Per Session]]*Sheet_1_Table_1_134[[#This Row],[Quota]]</f>
        <v>40</v>
      </c>
      <c r="AK18" s="321">
        <v>46303</v>
      </c>
      <c r="AL18" s="323">
        <f>WEEKDAY(Sheet_1_Table_1_134[[#This Row],[Lesson 1 
Date 
(DD-MMM-YYYY)]])</f>
        <v>5</v>
      </c>
      <c r="AM18" s="325">
        <v>0.66666666666666663</v>
      </c>
      <c r="AN18" s="327">
        <v>0.70833333333333337</v>
      </c>
      <c r="AO18" s="329" t="s">
        <v>484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291</v>
      </c>
      <c r="BP18" s="69" t="s">
        <v>467</v>
      </c>
      <c r="BQ18" s="56" t="s">
        <v>468</v>
      </c>
      <c r="BR18" s="57" t="s">
        <v>469</v>
      </c>
      <c r="BS18" s="54"/>
      <c r="BT18" s="56"/>
      <c r="BU18" s="56"/>
      <c r="BV18" s="57"/>
      <c r="BW18" s="60"/>
      <c r="BX18" s="195"/>
      <c r="BY18" s="56"/>
      <c r="BZ18" s="56"/>
      <c r="CA18" s="56"/>
      <c r="CB18" s="72"/>
      <c r="CC18" s="72"/>
      <c r="CD18" s="72"/>
      <c r="CE18" s="60" t="s">
        <v>359</v>
      </c>
      <c r="CF18" s="72" t="s">
        <v>360</v>
      </c>
      <c r="CG18" s="56" t="s">
        <v>270</v>
      </c>
      <c r="CH18" s="57" t="s">
        <v>271</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485</v>
      </c>
      <c r="D19" s="50" t="s">
        <v>174</v>
      </c>
      <c r="E19" s="51">
        <v>5903</v>
      </c>
      <c r="F19" s="471" t="s">
        <v>134</v>
      </c>
      <c r="G19" s="472" t="s">
        <v>345</v>
      </c>
      <c r="H19" s="471" t="s">
        <v>346</v>
      </c>
      <c r="I19" s="645" t="s">
        <v>347</v>
      </c>
      <c r="J19" s="774"/>
      <c r="K19" s="775" t="s">
        <v>486</v>
      </c>
      <c r="L19" s="472"/>
      <c r="M19" s="72" t="s">
        <v>487</v>
      </c>
      <c r="N19" s="263" t="s">
        <v>488</v>
      </c>
      <c r="O19" s="200" t="s">
        <v>146</v>
      </c>
      <c r="P19" s="201" t="s">
        <v>146</v>
      </c>
      <c r="Q19" s="60" t="s">
        <v>352</v>
      </c>
      <c r="R19" s="208" t="str">
        <f>VLOOKUP(Sheet_1_Table_1_134[[#This Row],[Learning Domain]],[6]List!$A$7:$B$12,2,0)</f>
        <v>IED</v>
      </c>
      <c r="S19" s="471">
        <v>0</v>
      </c>
      <c r="T19" s="644">
        <v>0</v>
      </c>
      <c r="U19" s="644">
        <v>0</v>
      </c>
      <c r="V19" s="644">
        <v>0</v>
      </c>
      <c r="W19" s="644">
        <v>0</v>
      </c>
      <c r="X19" s="644">
        <v>0</v>
      </c>
      <c r="Y19" s="644">
        <v>0</v>
      </c>
      <c r="Z19" s="644">
        <v>0</v>
      </c>
      <c r="AA19" s="644">
        <v>100</v>
      </c>
      <c r="AB19" s="53">
        <f>SUM(Sheet_1_Table_1_134[[#This Row],[Leadership LS]:[Career Development  CR]])</f>
        <v>100</v>
      </c>
      <c r="AC19" s="97" t="s">
        <v>199</v>
      </c>
      <c r="AD19" s="55" t="s">
        <v>190</v>
      </c>
      <c r="AE19" s="55" t="s">
        <v>146</v>
      </c>
      <c r="AF19" s="55" t="s">
        <v>142</v>
      </c>
      <c r="AG19" s="55" t="s">
        <v>142</v>
      </c>
      <c r="AH19" s="55">
        <v>1</v>
      </c>
      <c r="AI19" s="178">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8" t="s">
        <v>484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291</v>
      </c>
      <c r="BP19" s="217" t="s">
        <v>467</v>
      </c>
      <c r="BQ19" s="56" t="s">
        <v>468</v>
      </c>
      <c r="BR19" s="57" t="s">
        <v>469</v>
      </c>
      <c r="BS19" s="54"/>
      <c r="BT19" s="56"/>
      <c r="BU19" s="56"/>
      <c r="BV19" s="57"/>
      <c r="BW19" s="60"/>
      <c r="BX19" s="195"/>
      <c r="BY19" s="56"/>
      <c r="BZ19" s="56"/>
      <c r="CA19" s="56"/>
      <c r="CB19" s="72"/>
      <c r="CC19" s="72"/>
      <c r="CD19" s="72"/>
      <c r="CE19" s="60" t="s">
        <v>359</v>
      </c>
      <c r="CF19" s="72" t="s">
        <v>360</v>
      </c>
      <c r="CG19" s="56" t="s">
        <v>270</v>
      </c>
      <c r="CH19" s="57" t="s">
        <v>271</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489</v>
      </c>
      <c r="D20" s="50" t="s">
        <v>174</v>
      </c>
      <c r="E20" s="51">
        <v>5897</v>
      </c>
      <c r="F20" s="471" t="s">
        <v>134</v>
      </c>
      <c r="G20" s="472" t="s">
        <v>345</v>
      </c>
      <c r="H20" s="52"/>
      <c r="I20" s="57"/>
      <c r="J20" s="288" t="s">
        <v>490</v>
      </c>
      <c r="K20" s="60" t="s">
        <v>491</v>
      </c>
      <c r="L20" s="53"/>
      <c r="M20" s="72" t="s">
        <v>492</v>
      </c>
      <c r="N20" s="263" t="s">
        <v>493</v>
      </c>
      <c r="O20" s="200" t="s">
        <v>146</v>
      </c>
      <c r="P20" s="201" t="s">
        <v>146</v>
      </c>
      <c r="Q20" s="60" t="s">
        <v>352</v>
      </c>
      <c r="R20" s="202" t="str">
        <f>VLOOKUP(Sheet_1_Table_1_134[[#This Row],[Learning Domain]],[6]List!$A$7:$B$12,2,0)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8">
        <v>70</v>
      </c>
      <c r="AJ20" s="62">
        <f>Sheet_1_Table_1_134[[#This Row],[ILP Units Per Session]]*Sheet_1_Table_1_134[[#This Row],[Quota]]</f>
        <v>70</v>
      </c>
      <c r="AK20" s="289">
        <v>46304</v>
      </c>
      <c r="AL20" s="64">
        <f>WEEKDAY(Sheet_1_Table_1_134[[#This Row],[Lesson 1 
Date 
(DD-MMM-YYYY)]])</f>
        <v>6</v>
      </c>
      <c r="AM20" s="65">
        <v>0.66666666666666663</v>
      </c>
      <c r="AN20" s="66">
        <v>0.70833333333333337</v>
      </c>
      <c r="AO20" s="290"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8" t="s">
        <v>368</v>
      </c>
      <c r="BP20" s="217"/>
      <c r="BQ20" s="56"/>
      <c r="BR20" s="57"/>
      <c r="BS20" s="54"/>
      <c r="BT20" s="56"/>
      <c r="BU20" s="56"/>
      <c r="BV20" s="57"/>
      <c r="BW20" s="60"/>
      <c r="BX20" s="195"/>
      <c r="BY20" s="56"/>
      <c r="BZ20" s="56"/>
      <c r="CA20" s="56"/>
      <c r="CB20" s="72"/>
      <c r="CC20" s="72"/>
      <c r="CD20" s="72"/>
      <c r="CE20" s="60" t="s">
        <v>359</v>
      </c>
      <c r="CF20" s="72" t="s">
        <v>360</v>
      </c>
      <c r="CG20" s="56" t="s">
        <v>369</v>
      </c>
      <c r="CH20" s="57" t="s">
        <v>370</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494</v>
      </c>
      <c r="D21" s="50" t="s">
        <v>174</v>
      </c>
      <c r="E21" s="51">
        <v>5881</v>
      </c>
      <c r="F21" s="471" t="s">
        <v>134</v>
      </c>
      <c r="G21" s="472" t="s">
        <v>345</v>
      </c>
      <c r="H21" s="471" t="s">
        <v>433</v>
      </c>
      <c r="I21" s="657" t="s">
        <v>434</v>
      </c>
      <c r="J21" s="774"/>
      <c r="K21" s="775" t="s">
        <v>495</v>
      </c>
      <c r="L21" s="472"/>
      <c r="M21" s="662" t="s">
        <v>496</v>
      </c>
      <c r="N21" s="657" t="s">
        <v>497</v>
      </c>
      <c r="O21" s="200" t="s">
        <v>146</v>
      </c>
      <c r="P21" s="201" t="s">
        <v>146</v>
      </c>
      <c r="Q21" s="60" t="s">
        <v>352</v>
      </c>
      <c r="R21" s="202" t="str">
        <f>VLOOKUP(Sheet_1_Table_1_134[[#This Row],[Learning Domain]],[6]List!$A$7:$B$12,2,0)</f>
        <v>IED</v>
      </c>
      <c r="S21" s="471">
        <v>0</v>
      </c>
      <c r="T21" s="644">
        <v>0</v>
      </c>
      <c r="U21" s="644">
        <v>0</v>
      </c>
      <c r="V21" s="644">
        <v>0</v>
      </c>
      <c r="W21" s="644">
        <v>0</v>
      </c>
      <c r="X21" s="644">
        <v>0</v>
      </c>
      <c r="Y21" s="644">
        <v>50</v>
      </c>
      <c r="Z21" s="644">
        <v>0</v>
      </c>
      <c r="AA21" s="644">
        <v>50</v>
      </c>
      <c r="AB21" s="53">
        <f>SUM(Sheet_1_Table_1_134[[#This Row],[Leadership LS]:[Career Development  CR]])</f>
        <v>100</v>
      </c>
      <c r="AC21" s="52" t="s">
        <v>144</v>
      </c>
      <c r="AD21" s="55" t="s">
        <v>353</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439</v>
      </c>
      <c r="BQ21" s="56" t="s">
        <v>440</v>
      </c>
      <c r="BR21" s="57" t="s">
        <v>441</v>
      </c>
      <c r="BS21" s="52"/>
      <c r="BT21" s="56"/>
      <c r="BU21" s="56"/>
      <c r="BV21" s="70"/>
      <c r="BW21" s="60"/>
      <c r="BX21" s="71"/>
      <c r="BY21" s="56"/>
      <c r="BZ21" s="56"/>
      <c r="CA21" s="56"/>
      <c r="CB21" s="203" t="s">
        <v>498</v>
      </c>
      <c r="CC21" s="203" t="s">
        <v>499</v>
      </c>
      <c r="CD21" s="204">
        <v>42427592</v>
      </c>
      <c r="CE21" s="60" t="s">
        <v>359</v>
      </c>
      <c r="CF21" s="71" t="s">
        <v>360</v>
      </c>
      <c r="CG21" s="56" t="s">
        <v>361</v>
      </c>
      <c r="CH21" s="57" t="s">
        <v>362</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500</v>
      </c>
      <c r="D22" s="50" t="s">
        <v>174</v>
      </c>
      <c r="E22" s="51">
        <v>5882</v>
      </c>
      <c r="F22" s="471" t="s">
        <v>134</v>
      </c>
      <c r="G22" s="472" t="s">
        <v>345</v>
      </c>
      <c r="H22" s="778" t="s">
        <v>346</v>
      </c>
      <c r="I22" s="645" t="s">
        <v>347</v>
      </c>
      <c r="J22" s="774"/>
      <c r="K22" s="653" t="s">
        <v>501</v>
      </c>
      <c r="L22" s="472"/>
      <c r="M22" s="662" t="s">
        <v>502</v>
      </c>
      <c r="N22" s="657" t="s">
        <v>503</v>
      </c>
      <c r="O22" s="200" t="s">
        <v>146</v>
      </c>
      <c r="P22" s="201" t="s">
        <v>146</v>
      </c>
      <c r="Q22" s="60" t="s">
        <v>352</v>
      </c>
      <c r="R22" s="208" t="str">
        <f>VLOOKUP(Sheet_1_Table_1_134[[#This Row],[Learning Domain]],[6]List!$A$7:$B$12,2,0)</f>
        <v>IED</v>
      </c>
      <c r="S22" s="471">
        <v>30</v>
      </c>
      <c r="T22" s="644">
        <v>0</v>
      </c>
      <c r="U22" s="644">
        <v>0</v>
      </c>
      <c r="V22" s="644">
        <v>0</v>
      </c>
      <c r="W22" s="644">
        <v>0</v>
      </c>
      <c r="X22" s="644">
        <v>0</v>
      </c>
      <c r="Y22" s="644">
        <v>0</v>
      </c>
      <c r="Z22" s="644">
        <v>0</v>
      </c>
      <c r="AA22" s="64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8" t="s">
        <v>504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291</v>
      </c>
      <c r="BP22" s="69" t="s">
        <v>505</v>
      </c>
      <c r="BQ22" s="56" t="s">
        <v>506</v>
      </c>
      <c r="BR22" s="57" t="s">
        <v>507</v>
      </c>
      <c r="BS22" s="52"/>
      <c r="BT22" s="56"/>
      <c r="BU22" s="56"/>
      <c r="BV22" s="70"/>
      <c r="BW22" s="60"/>
      <c r="BX22" s="71"/>
      <c r="BY22" s="56"/>
      <c r="BZ22" s="56"/>
      <c r="CA22" s="56"/>
      <c r="CB22" s="72"/>
      <c r="CC22" s="72"/>
      <c r="CD22" s="71"/>
      <c r="CE22" s="60" t="s">
        <v>359</v>
      </c>
      <c r="CF22" s="71" t="s">
        <v>360</v>
      </c>
      <c r="CG22" s="56" t="s">
        <v>361</v>
      </c>
      <c r="CH22" s="57" t="s">
        <v>362</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508</v>
      </c>
      <c r="D23" s="50" t="s">
        <v>174</v>
      </c>
      <c r="E23" s="51">
        <v>5878</v>
      </c>
      <c r="F23" s="471" t="s">
        <v>134</v>
      </c>
      <c r="G23" s="472" t="s">
        <v>345</v>
      </c>
      <c r="H23" s="471" t="s">
        <v>346</v>
      </c>
      <c r="I23" s="657" t="s">
        <v>347</v>
      </c>
      <c r="J23" s="774" t="s">
        <v>509</v>
      </c>
      <c r="K23" s="775" t="s">
        <v>510</v>
      </c>
      <c r="L23" s="472"/>
      <c r="M23" s="662" t="s">
        <v>511</v>
      </c>
      <c r="N23" s="657" t="s">
        <v>512</v>
      </c>
      <c r="O23" s="200" t="s">
        <v>146</v>
      </c>
      <c r="P23" s="201" t="s">
        <v>146</v>
      </c>
      <c r="Q23" s="60" t="s">
        <v>352</v>
      </c>
      <c r="R23" s="202" t="str">
        <f>VLOOKUP(Sheet_1_Table_1_134[[#This Row],[Learning Domain]],[6]List!$A$7:$B$12,2,0)</f>
        <v>IED</v>
      </c>
      <c r="S23" s="471">
        <v>30</v>
      </c>
      <c r="T23" s="644">
        <v>0</v>
      </c>
      <c r="U23" s="644">
        <v>0</v>
      </c>
      <c r="V23" s="644">
        <v>0</v>
      </c>
      <c r="W23" s="644">
        <v>0</v>
      </c>
      <c r="X23" s="644">
        <v>0</v>
      </c>
      <c r="Y23" s="644">
        <v>0</v>
      </c>
      <c r="Z23" s="644">
        <v>0</v>
      </c>
      <c r="AA23" s="644">
        <v>70</v>
      </c>
      <c r="AB23" s="53">
        <f>SUM(Sheet_1_Table_1_134[[#This Row],[Leadership LS]:[Career Development  CR]])</f>
        <v>100</v>
      </c>
      <c r="AC23" s="52" t="s">
        <v>199</v>
      </c>
      <c r="AD23" s="55" t="s">
        <v>353</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291</v>
      </c>
      <c r="BP23" s="69" t="s">
        <v>449</v>
      </c>
      <c r="BQ23" s="56" t="s">
        <v>381</v>
      </c>
      <c r="BR23" s="57" t="s">
        <v>450</v>
      </c>
      <c r="BS23" s="52"/>
      <c r="BT23" s="56"/>
      <c r="BU23" s="56"/>
      <c r="BV23" s="70"/>
      <c r="BW23" s="60"/>
      <c r="BX23" s="71"/>
      <c r="BY23" s="56" t="s">
        <v>149</v>
      </c>
      <c r="BZ23" s="56"/>
      <c r="CA23" s="56" t="s">
        <v>149</v>
      </c>
      <c r="CB23" s="203" t="s">
        <v>513</v>
      </c>
      <c r="CC23" s="203" t="s">
        <v>514</v>
      </c>
      <c r="CD23" s="204">
        <v>9877070</v>
      </c>
      <c r="CE23" s="60" t="s">
        <v>359</v>
      </c>
      <c r="CF23" s="71" t="s">
        <v>360</v>
      </c>
      <c r="CG23" s="56" t="s">
        <v>361</v>
      </c>
      <c r="CH23" s="57" t="s">
        <v>362</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87" customFormat="1" ht="80.099999999999994" customHeight="1">
      <c r="A24" s="264">
        <v>23</v>
      </c>
      <c r="B24" s="50">
        <v>202609</v>
      </c>
      <c r="C24" s="50" t="s">
        <v>515</v>
      </c>
      <c r="D24" s="50" t="s">
        <v>174</v>
      </c>
      <c r="E24" s="51">
        <v>5916</v>
      </c>
      <c r="F24" s="560" t="s">
        <v>134</v>
      </c>
      <c r="G24" s="472" t="s">
        <v>345</v>
      </c>
      <c r="H24" s="97" t="s">
        <v>372</v>
      </c>
      <c r="I24" s="57" t="s">
        <v>373</v>
      </c>
      <c r="J24" s="60" t="s">
        <v>516</v>
      </c>
      <c r="K24" s="141" t="s">
        <v>517</v>
      </c>
      <c r="L24" s="53"/>
      <c r="M24" s="56" t="s">
        <v>518</v>
      </c>
      <c r="N24" s="57" t="s">
        <v>519</v>
      </c>
      <c r="O24" s="230" t="s">
        <v>146</v>
      </c>
      <c r="P24" s="96" t="s">
        <v>146</v>
      </c>
      <c r="Q24" s="60" t="s">
        <v>352</v>
      </c>
      <c r="R24" s="202" t="str">
        <f>VLOOKUP(Sheet_1_Table_1_134[[#This Row],[Learning Domain]],[6]List!$A$7:$B$12,2,0)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93">
        <v>46310</v>
      </c>
      <c r="AL24" s="64">
        <f>WEEKDAY(Sheet_1_Table_1_134[[#This Row],[Lesson 1 
Date 
(DD-MMM-YYYY)]])</f>
        <v>5</v>
      </c>
      <c r="AM24" s="65">
        <v>0.66666666666666663</v>
      </c>
      <c r="AN24" s="66">
        <v>0.75</v>
      </c>
      <c r="AO24" s="188" t="s">
        <v>458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520</v>
      </c>
      <c r="BQ24" s="56" t="s">
        <v>521</v>
      </c>
      <c r="BR24" s="57" t="s">
        <v>522</v>
      </c>
      <c r="BS24" s="54"/>
      <c r="BT24" s="56"/>
      <c r="BU24" s="56"/>
      <c r="BV24" s="57"/>
      <c r="BW24" s="60"/>
      <c r="BX24" s="195"/>
      <c r="BY24" s="56"/>
      <c r="BZ24" s="56"/>
      <c r="CA24" s="56"/>
      <c r="CB24" s="72"/>
      <c r="CC24" s="72"/>
      <c r="CD24" s="72"/>
      <c r="CE24" s="176" t="s">
        <v>359</v>
      </c>
      <c r="CF24" s="203" t="s">
        <v>360</v>
      </c>
      <c r="CG24" s="69" t="s">
        <v>270</v>
      </c>
      <c r="CH24" s="137" t="s">
        <v>271</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286"/>
      <c r="DO24" s="286"/>
      <c r="DP24" s="286"/>
      <c r="DQ24" s="286"/>
      <c r="DR24" s="286"/>
      <c r="DS24" s="286"/>
    </row>
    <row r="25" spans="1:156" s="287" customFormat="1" ht="80.099999999999994" customHeight="1">
      <c r="A25" s="264">
        <v>24</v>
      </c>
      <c r="B25" s="50">
        <v>202609</v>
      </c>
      <c r="C25" s="50" t="s">
        <v>523</v>
      </c>
      <c r="D25" s="50" t="s">
        <v>174</v>
      </c>
      <c r="E25" s="51">
        <v>5872</v>
      </c>
      <c r="F25" s="560" t="s">
        <v>134</v>
      </c>
      <c r="G25" s="472" t="s">
        <v>345</v>
      </c>
      <c r="H25" s="227" t="s">
        <v>346</v>
      </c>
      <c r="I25" s="645" t="s">
        <v>347</v>
      </c>
      <c r="J25" s="653" t="s">
        <v>524</v>
      </c>
      <c r="K25" s="775" t="s">
        <v>525</v>
      </c>
      <c r="L25" s="472"/>
      <c r="M25" s="640" t="s">
        <v>526</v>
      </c>
      <c r="N25" s="645" t="s">
        <v>527</v>
      </c>
      <c r="O25" s="230" t="s">
        <v>146</v>
      </c>
      <c r="P25" s="96" t="s">
        <v>146</v>
      </c>
      <c r="Q25" s="60" t="s">
        <v>352</v>
      </c>
      <c r="R25" s="202" t="str">
        <f>VLOOKUP(Sheet_1_Table_1_134[[#This Row],[Learning Domain]],[6]List!$A$7:$B$12,2,0)</f>
        <v>IED</v>
      </c>
      <c r="S25" s="644">
        <v>40</v>
      </c>
      <c r="T25" s="644">
        <v>0</v>
      </c>
      <c r="U25" s="644">
        <v>0</v>
      </c>
      <c r="V25" s="644">
        <v>0</v>
      </c>
      <c r="W25" s="644">
        <v>0</v>
      </c>
      <c r="X25" s="644">
        <v>0</v>
      </c>
      <c r="Y25" s="644">
        <v>0</v>
      </c>
      <c r="Z25" s="644">
        <v>0</v>
      </c>
      <c r="AA25" s="644">
        <v>60</v>
      </c>
      <c r="AB25" s="53">
        <f>SUM(Sheet_1_Table_1_134[[#This Row],[Leadership LS]:[Career Development  CR]])</f>
        <v>100</v>
      </c>
      <c r="AC25" s="97" t="s">
        <v>199</v>
      </c>
      <c r="AD25" s="55" t="s">
        <v>353</v>
      </c>
      <c r="AE25" s="55" t="s">
        <v>142</v>
      </c>
      <c r="AF25" s="55" t="s">
        <v>146</v>
      </c>
      <c r="AG25" s="55" t="s">
        <v>142</v>
      </c>
      <c r="AH25" s="55">
        <v>2</v>
      </c>
      <c r="AI25" s="55">
        <v>100</v>
      </c>
      <c r="AJ25" s="62">
        <f>Sheet_1_Table_1_134[[#This Row],[ILP Units Per Session]]*Sheet_1_Table_1_134[[#This Row],[Quota]]</f>
        <v>200</v>
      </c>
      <c r="AK25" s="184">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291</v>
      </c>
      <c r="BP25" s="69" t="s">
        <v>354</v>
      </c>
      <c r="BQ25" s="56" t="s">
        <v>355</v>
      </c>
      <c r="BR25" s="57" t="s">
        <v>356</v>
      </c>
      <c r="BS25" s="54"/>
      <c r="BT25" s="56"/>
      <c r="BU25" s="56"/>
      <c r="BV25" s="57"/>
      <c r="BW25" s="60"/>
      <c r="BX25" s="195"/>
      <c r="BY25" s="56"/>
      <c r="BZ25" s="56"/>
      <c r="CA25" s="56"/>
      <c r="CB25" s="203" t="s">
        <v>528</v>
      </c>
      <c r="CC25" s="203" t="s">
        <v>529</v>
      </c>
      <c r="CD25" s="203">
        <v>81016095</v>
      </c>
      <c r="CE25" s="60" t="s">
        <v>359</v>
      </c>
      <c r="CF25" s="72" t="s">
        <v>360</v>
      </c>
      <c r="CG25" s="56" t="s">
        <v>361</v>
      </c>
      <c r="CH25" s="57" t="s">
        <v>362</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286"/>
      <c r="DO25" s="286"/>
      <c r="DP25" s="286"/>
      <c r="DQ25" s="286"/>
      <c r="DR25" s="286"/>
      <c r="DS25" s="286"/>
    </row>
    <row r="26" spans="1:156" ht="80.099999999999994" customHeight="1">
      <c r="A26" s="48">
        <v>25</v>
      </c>
      <c r="B26" s="49">
        <v>202609</v>
      </c>
      <c r="C26" s="50" t="s">
        <v>530</v>
      </c>
      <c r="D26" s="50" t="s">
        <v>133</v>
      </c>
      <c r="E26" s="51">
        <v>5891</v>
      </c>
      <c r="F26" s="471" t="s">
        <v>134</v>
      </c>
      <c r="G26" s="472" t="s">
        <v>345</v>
      </c>
      <c r="H26" s="778" t="s">
        <v>346</v>
      </c>
      <c r="I26" s="645" t="s">
        <v>347</v>
      </c>
      <c r="J26" s="774" t="s">
        <v>390</v>
      </c>
      <c r="K26" s="775" t="s">
        <v>391</v>
      </c>
      <c r="L26" s="472" t="s">
        <v>531</v>
      </c>
      <c r="M26" s="662" t="s">
        <v>393</v>
      </c>
      <c r="N26" s="657" t="s">
        <v>476</v>
      </c>
      <c r="O26" s="228" t="s">
        <v>142</v>
      </c>
      <c r="P26" s="229" t="s">
        <v>142</v>
      </c>
      <c r="Q26" s="60" t="s">
        <v>352</v>
      </c>
      <c r="R26" s="208" t="str">
        <f>VLOOKUP(Sheet_1_Table_1_134[[#This Row],[Learning Domain]],[6]List!$A$7:$B$12,2,0)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8" t="s">
        <v>190</v>
      </c>
      <c r="AE26" s="55" t="s">
        <v>146</v>
      </c>
      <c r="AF26" s="55" t="s">
        <v>142</v>
      </c>
      <c r="AG26" s="55" t="s">
        <v>142</v>
      </c>
      <c r="AH26" s="178">
        <v>1.5</v>
      </c>
      <c r="AI26" s="178">
        <v>25</v>
      </c>
      <c r="AJ26" s="62">
        <f>Sheet_1_Table_1_134[[#This Row],[ILP Units Per Session]]*Sheet_1_Table_1_134[[#This Row],[Quota]]</f>
        <v>37.5</v>
      </c>
      <c r="AK26" s="63">
        <v>46316</v>
      </c>
      <c r="AL26" s="64">
        <f>WEEKDAY(Sheet_1_Table_1_134[[#This Row],[Lesson 1 
Date 
(DD-MMM-YYYY)]])</f>
        <v>4</v>
      </c>
      <c r="AM26" s="65">
        <v>0.79166666666666663</v>
      </c>
      <c r="AN26" s="66">
        <v>0.875</v>
      </c>
      <c r="AO26" s="188" t="s">
        <v>395</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396</v>
      </c>
      <c r="BQ26" s="56"/>
      <c r="BR26" s="57"/>
      <c r="BS26" s="54"/>
      <c r="BT26" s="56"/>
      <c r="BU26" s="56"/>
      <c r="BV26" s="57"/>
      <c r="BW26" s="60"/>
      <c r="BX26" s="195"/>
      <c r="BY26" s="56"/>
      <c r="BZ26" s="56"/>
      <c r="CA26" s="56"/>
      <c r="CB26" s="72"/>
      <c r="CC26" s="72"/>
      <c r="CD26" s="72"/>
      <c r="CE26" s="60" t="s">
        <v>359</v>
      </c>
      <c r="CF26" s="72" t="s">
        <v>360</v>
      </c>
      <c r="CG26" s="56" t="s">
        <v>397</v>
      </c>
      <c r="CH26" s="57" t="s">
        <v>398</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532</v>
      </c>
      <c r="D27" s="50" t="s">
        <v>174</v>
      </c>
      <c r="E27" s="51">
        <v>5905</v>
      </c>
      <c r="F27" s="471" t="s">
        <v>134</v>
      </c>
      <c r="G27" s="472" t="s">
        <v>345</v>
      </c>
      <c r="H27" s="778" t="s">
        <v>346</v>
      </c>
      <c r="I27" s="645" t="s">
        <v>347</v>
      </c>
      <c r="J27" s="774"/>
      <c r="K27" s="775" t="s">
        <v>533</v>
      </c>
      <c r="L27" s="472"/>
      <c r="M27" s="72" t="s">
        <v>534</v>
      </c>
      <c r="N27" s="70" t="s">
        <v>535</v>
      </c>
      <c r="O27" s="200" t="s">
        <v>146</v>
      </c>
      <c r="P27" s="201" t="s">
        <v>146</v>
      </c>
      <c r="Q27" s="60" t="s">
        <v>352</v>
      </c>
      <c r="R27" s="202" t="str">
        <f>VLOOKUP(Sheet_1_Table_1_134[[#This Row],[Learning Domain]],[6]List!$A$7:$B$12,2,0)</f>
        <v>IED</v>
      </c>
      <c r="S27" s="471">
        <v>0</v>
      </c>
      <c r="T27" s="644">
        <v>0</v>
      </c>
      <c r="U27" s="644">
        <v>0</v>
      </c>
      <c r="V27" s="644">
        <v>0</v>
      </c>
      <c r="W27" s="644">
        <v>0</v>
      </c>
      <c r="X27" s="644">
        <v>0</v>
      </c>
      <c r="Y27" s="644">
        <v>0</v>
      </c>
      <c r="Z27" s="644">
        <v>0</v>
      </c>
      <c r="AA27" s="64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8" t="s">
        <v>404</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291</v>
      </c>
      <c r="BP27" s="69" t="s">
        <v>467</v>
      </c>
      <c r="BQ27" s="56" t="s">
        <v>468</v>
      </c>
      <c r="BR27" s="57" t="s">
        <v>469</v>
      </c>
      <c r="BS27" s="54"/>
      <c r="BT27" s="56"/>
      <c r="BU27" s="56"/>
      <c r="BV27" s="57"/>
      <c r="BW27" s="60"/>
      <c r="BX27" s="195"/>
      <c r="BY27" s="56"/>
      <c r="BZ27" s="56"/>
      <c r="CA27" s="56"/>
      <c r="CB27" s="72"/>
      <c r="CC27" s="72"/>
      <c r="CD27" s="72"/>
      <c r="CE27" s="60" t="s">
        <v>359</v>
      </c>
      <c r="CF27" s="72" t="s">
        <v>360</v>
      </c>
      <c r="CG27" s="56" t="s">
        <v>270</v>
      </c>
      <c r="CH27" s="57" t="s">
        <v>271</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536</v>
      </c>
      <c r="D28" s="50" t="s">
        <v>174</v>
      </c>
      <c r="E28" s="51">
        <v>5906</v>
      </c>
      <c r="F28" s="471" t="s">
        <v>134</v>
      </c>
      <c r="G28" s="472" t="s">
        <v>345</v>
      </c>
      <c r="H28" s="778" t="s">
        <v>346</v>
      </c>
      <c r="I28" s="645" t="s">
        <v>347</v>
      </c>
      <c r="J28" s="774"/>
      <c r="K28" s="775" t="s">
        <v>537</v>
      </c>
      <c r="L28" s="472"/>
      <c r="M28" s="72" t="s">
        <v>538</v>
      </c>
      <c r="N28" s="70" t="s">
        <v>539</v>
      </c>
      <c r="O28" s="200" t="s">
        <v>146</v>
      </c>
      <c r="P28" s="201" t="s">
        <v>146</v>
      </c>
      <c r="Q28" s="60" t="s">
        <v>352</v>
      </c>
      <c r="R28" s="208" t="str">
        <f>VLOOKUP(Sheet_1_Table_1_134[[#This Row],[Learning Domain]],[6]List!$A$7:$B$12,2,0)</f>
        <v>IED</v>
      </c>
      <c r="S28" s="471">
        <v>0</v>
      </c>
      <c r="T28" s="644">
        <v>0</v>
      </c>
      <c r="U28" s="644">
        <v>0</v>
      </c>
      <c r="V28" s="644">
        <v>0</v>
      </c>
      <c r="W28" s="644">
        <v>0</v>
      </c>
      <c r="X28" s="644">
        <v>0</v>
      </c>
      <c r="Y28" s="644">
        <v>0</v>
      </c>
      <c r="Z28" s="644">
        <v>0</v>
      </c>
      <c r="AA28" s="64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8" t="s">
        <v>404</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291</v>
      </c>
      <c r="BP28" s="69" t="s">
        <v>467</v>
      </c>
      <c r="BQ28" s="56" t="s">
        <v>468</v>
      </c>
      <c r="BR28" s="57" t="s">
        <v>469</v>
      </c>
      <c r="BS28" s="54"/>
      <c r="BT28" s="56"/>
      <c r="BU28" s="56"/>
      <c r="BV28" s="57"/>
      <c r="BW28" s="60"/>
      <c r="BX28" s="195"/>
      <c r="BY28" s="56"/>
      <c r="BZ28" s="56"/>
      <c r="CA28" s="56"/>
      <c r="CB28" s="72"/>
      <c r="CC28" s="72"/>
      <c r="CD28" s="72"/>
      <c r="CE28" s="60" t="s">
        <v>359</v>
      </c>
      <c r="CF28" s="72" t="s">
        <v>360</v>
      </c>
      <c r="CG28" s="56" t="s">
        <v>270</v>
      </c>
      <c r="CH28" s="57" t="s">
        <v>271</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540</v>
      </c>
      <c r="D29" s="50" t="s">
        <v>174</v>
      </c>
      <c r="E29" s="51">
        <v>5883</v>
      </c>
      <c r="F29" s="471" t="s">
        <v>134</v>
      </c>
      <c r="G29" s="472" t="s">
        <v>345</v>
      </c>
      <c r="H29" s="778" t="s">
        <v>346</v>
      </c>
      <c r="I29" s="645" t="s">
        <v>347</v>
      </c>
      <c r="J29" s="774" t="s">
        <v>541</v>
      </c>
      <c r="K29" s="653" t="s">
        <v>542</v>
      </c>
      <c r="L29" s="472"/>
      <c r="M29" s="662" t="s">
        <v>543</v>
      </c>
      <c r="N29" s="657" t="s">
        <v>544</v>
      </c>
      <c r="O29" s="200" t="s">
        <v>146</v>
      </c>
      <c r="P29" s="201" t="s">
        <v>146</v>
      </c>
      <c r="Q29" s="60" t="s">
        <v>352</v>
      </c>
      <c r="R29" s="202" t="str">
        <f>VLOOKUP(Sheet_1_Table_1_134[[#This Row],[Learning Domain]],[6]List!$A$7:$B$12,2,0)</f>
        <v>IED</v>
      </c>
      <c r="S29" s="471">
        <v>20</v>
      </c>
      <c r="T29" s="644">
        <v>0</v>
      </c>
      <c r="U29" s="644">
        <v>0</v>
      </c>
      <c r="V29" s="644">
        <v>0</v>
      </c>
      <c r="W29" s="644">
        <v>0</v>
      </c>
      <c r="X29" s="644">
        <v>0</v>
      </c>
      <c r="Y29" s="644">
        <v>0</v>
      </c>
      <c r="Z29" s="644">
        <v>0</v>
      </c>
      <c r="AA29" s="64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8" t="s">
        <v>404</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291</v>
      </c>
      <c r="BP29" s="69" t="s">
        <v>505</v>
      </c>
      <c r="BQ29" s="56" t="s">
        <v>506</v>
      </c>
      <c r="BR29" s="57" t="s">
        <v>507</v>
      </c>
      <c r="BS29" s="54"/>
      <c r="BT29" s="56"/>
      <c r="BU29" s="56"/>
      <c r="BV29" s="57"/>
      <c r="BW29" s="60"/>
      <c r="BX29" s="195"/>
      <c r="BY29" s="56"/>
      <c r="BZ29" s="56"/>
      <c r="CA29" s="56"/>
      <c r="CB29" s="72"/>
      <c r="CC29" s="72"/>
      <c r="CD29" s="72"/>
      <c r="CE29" s="60" t="s">
        <v>359</v>
      </c>
      <c r="CF29" s="72" t="s">
        <v>360</v>
      </c>
      <c r="CG29" s="56" t="s">
        <v>361</v>
      </c>
      <c r="CH29" s="57" t="s">
        <v>362</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462</v>
      </c>
      <c r="D30" s="50" t="s">
        <v>174</v>
      </c>
      <c r="E30" s="51">
        <v>5899</v>
      </c>
      <c r="F30" s="471" t="s">
        <v>134</v>
      </c>
      <c r="G30" s="472" t="s">
        <v>345</v>
      </c>
      <c r="H30" s="779" t="s">
        <v>346</v>
      </c>
      <c r="I30" s="780" t="s">
        <v>347</v>
      </c>
      <c r="J30" s="774"/>
      <c r="K30" s="775" t="s">
        <v>463</v>
      </c>
      <c r="L30" s="472" t="s">
        <v>475</v>
      </c>
      <c r="M30" s="72" t="s">
        <v>545</v>
      </c>
      <c r="N30" s="70" t="s">
        <v>465</v>
      </c>
      <c r="O30" s="200" t="s">
        <v>146</v>
      </c>
      <c r="P30" s="201" t="s">
        <v>146</v>
      </c>
      <c r="Q30" s="60" t="s">
        <v>352</v>
      </c>
      <c r="R30" s="208" t="str">
        <f>VLOOKUP(Sheet_1_Table_1_134[[#This Row],[Learning Domain]],[6]List!$A$7:$B$12,2,0)</f>
        <v>IED</v>
      </c>
      <c r="S30" s="471">
        <v>0</v>
      </c>
      <c r="T30" s="644">
        <v>0</v>
      </c>
      <c r="U30" s="644">
        <v>0</v>
      </c>
      <c r="V30" s="644">
        <v>0</v>
      </c>
      <c r="W30" s="644">
        <v>0</v>
      </c>
      <c r="X30" s="644">
        <v>0</v>
      </c>
      <c r="Y30" s="644">
        <v>0</v>
      </c>
      <c r="Z30" s="644">
        <v>0</v>
      </c>
      <c r="AA30" s="64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8" t="s">
        <v>404</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291</v>
      </c>
      <c r="BP30" s="69" t="s">
        <v>467</v>
      </c>
      <c r="BQ30" s="56" t="s">
        <v>468</v>
      </c>
      <c r="BR30" s="57" t="s">
        <v>469</v>
      </c>
      <c r="BS30" s="52"/>
      <c r="BT30" s="56"/>
      <c r="BU30" s="56"/>
      <c r="BV30" s="70"/>
      <c r="BW30" s="60"/>
      <c r="BX30" s="71"/>
      <c r="BY30" s="56"/>
      <c r="BZ30" s="56"/>
      <c r="CA30" s="56"/>
      <c r="CB30" s="72"/>
      <c r="CC30" s="72"/>
      <c r="CD30" s="71"/>
      <c r="CE30" s="60" t="s">
        <v>359</v>
      </c>
      <c r="CF30" s="71" t="s">
        <v>360</v>
      </c>
      <c r="CG30" s="56" t="s">
        <v>270</v>
      </c>
      <c r="CH30" s="57" t="s">
        <v>271</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470</v>
      </c>
      <c r="D31" s="50" t="s">
        <v>174</v>
      </c>
      <c r="E31" s="51">
        <v>5901</v>
      </c>
      <c r="F31" s="471" t="s">
        <v>134</v>
      </c>
      <c r="G31" s="472" t="s">
        <v>345</v>
      </c>
      <c r="H31" s="779" t="s">
        <v>346</v>
      </c>
      <c r="I31" s="780" t="s">
        <v>347</v>
      </c>
      <c r="J31" s="774"/>
      <c r="K31" s="775" t="s">
        <v>471</v>
      </c>
      <c r="L31" s="472" t="s">
        <v>475</v>
      </c>
      <c r="M31" s="72" t="s">
        <v>472</v>
      </c>
      <c r="N31" s="70" t="s">
        <v>473</v>
      </c>
      <c r="O31" s="200" t="s">
        <v>146</v>
      </c>
      <c r="P31" s="201" t="s">
        <v>146</v>
      </c>
      <c r="Q31" s="60" t="s">
        <v>352</v>
      </c>
      <c r="R31" s="202" t="str">
        <f>VLOOKUP(Sheet_1_Table_1_134[[#This Row],[Learning Domain]],[6]List!$A$7:$B$12,2,0)</f>
        <v>IED</v>
      </c>
      <c r="S31" s="471">
        <v>0</v>
      </c>
      <c r="T31" s="644">
        <v>0</v>
      </c>
      <c r="U31" s="644">
        <v>0</v>
      </c>
      <c r="V31" s="644">
        <v>0</v>
      </c>
      <c r="W31" s="644">
        <v>0</v>
      </c>
      <c r="X31" s="644">
        <v>0</v>
      </c>
      <c r="Y31" s="644">
        <v>0</v>
      </c>
      <c r="Z31" s="644">
        <v>0</v>
      </c>
      <c r="AA31" s="64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8" t="s">
        <v>404</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291</v>
      </c>
      <c r="BP31" s="69" t="s">
        <v>467</v>
      </c>
      <c r="BQ31" s="56" t="s">
        <v>468</v>
      </c>
      <c r="BR31" s="57" t="s">
        <v>469</v>
      </c>
      <c r="BS31" s="52"/>
      <c r="BT31" s="56"/>
      <c r="BU31" s="56"/>
      <c r="BV31" s="70"/>
      <c r="BW31" s="60"/>
      <c r="BX31" s="71"/>
      <c r="BY31" s="56"/>
      <c r="BZ31" s="56"/>
      <c r="CA31" s="56"/>
      <c r="CB31" s="72"/>
      <c r="CC31" s="72"/>
      <c r="CD31" s="71"/>
      <c r="CE31" s="60" t="s">
        <v>359</v>
      </c>
      <c r="CF31" s="71" t="s">
        <v>360</v>
      </c>
      <c r="CG31" s="56" t="s">
        <v>270</v>
      </c>
      <c r="CH31" s="57" t="s">
        <v>271</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546</v>
      </c>
      <c r="D32" s="50" t="s">
        <v>174</v>
      </c>
      <c r="E32" s="51">
        <v>5873</v>
      </c>
      <c r="F32" s="471" t="s">
        <v>134</v>
      </c>
      <c r="G32" s="472" t="s">
        <v>345</v>
      </c>
      <c r="H32" s="304" t="s">
        <v>346</v>
      </c>
      <c r="I32" s="780" t="s">
        <v>347</v>
      </c>
      <c r="J32" s="774" t="s">
        <v>547</v>
      </c>
      <c r="K32" s="775" t="s">
        <v>548</v>
      </c>
      <c r="L32" s="472"/>
      <c r="M32" s="662" t="s">
        <v>549</v>
      </c>
      <c r="N32" s="657" t="s">
        <v>550</v>
      </c>
      <c r="O32" s="200" t="s">
        <v>146</v>
      </c>
      <c r="P32" s="201" t="s">
        <v>146</v>
      </c>
      <c r="Q32" s="60" t="s">
        <v>352</v>
      </c>
      <c r="R32" s="208" t="str">
        <f>VLOOKUP(Sheet_1_Table_1_134[[#This Row],[Learning Domain]],[6]List!$A$7:$B$12,2,0)</f>
        <v>IED</v>
      </c>
      <c r="S32" s="471">
        <v>20</v>
      </c>
      <c r="T32" s="644">
        <v>0</v>
      </c>
      <c r="U32" s="644">
        <v>0</v>
      </c>
      <c r="V32" s="644">
        <v>0</v>
      </c>
      <c r="W32" s="644">
        <v>0</v>
      </c>
      <c r="X32" s="644">
        <v>0</v>
      </c>
      <c r="Y32" s="644">
        <v>0</v>
      </c>
      <c r="Z32" s="644">
        <v>0</v>
      </c>
      <c r="AA32" s="644">
        <v>80</v>
      </c>
      <c r="AB32" s="53">
        <f>SUM(Sheet_1_Table_1_134[[#This Row],[Leadership LS]:[Career Development  CR]])</f>
        <v>100</v>
      </c>
      <c r="AC32" s="97" t="s">
        <v>199</v>
      </c>
      <c r="AD32" s="55" t="s">
        <v>353</v>
      </c>
      <c r="AE32" s="55" t="s">
        <v>142</v>
      </c>
      <c r="AF32" s="55" t="s">
        <v>146</v>
      </c>
      <c r="AG32" s="55" t="s">
        <v>142</v>
      </c>
      <c r="AH32" s="55">
        <v>2</v>
      </c>
      <c r="AI32" s="55">
        <v>100</v>
      </c>
      <c r="AJ32" s="62">
        <f>Sheet_1_Table_1_134[[#This Row],[ILP Units Per Session]]*Sheet_1_Table_1_134[[#This Row],[Quota]]</f>
        <v>200</v>
      </c>
      <c r="AK32" s="184">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291</v>
      </c>
      <c r="BP32" s="69" t="s">
        <v>354</v>
      </c>
      <c r="BQ32" s="56" t="s">
        <v>355</v>
      </c>
      <c r="BR32" s="57" t="s">
        <v>356</v>
      </c>
      <c r="BS32" s="54"/>
      <c r="BT32" s="56"/>
      <c r="BU32" s="56"/>
      <c r="BV32" s="57"/>
      <c r="BW32" s="60"/>
      <c r="BX32" s="195"/>
      <c r="BY32" s="56" t="s">
        <v>184</v>
      </c>
      <c r="BZ32" s="56"/>
      <c r="CA32" s="56" t="s">
        <v>184</v>
      </c>
      <c r="CB32" s="203" t="s">
        <v>551</v>
      </c>
      <c r="CC32" s="203" t="s">
        <v>552</v>
      </c>
      <c r="CD32" s="203">
        <v>50656258</v>
      </c>
      <c r="CE32" s="60" t="s">
        <v>359</v>
      </c>
      <c r="CF32" s="72" t="s">
        <v>360</v>
      </c>
      <c r="CG32" s="56" t="s">
        <v>361</v>
      </c>
      <c r="CH32" s="57" t="s">
        <v>362</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553</v>
      </c>
      <c r="D33" s="50" t="s">
        <v>174</v>
      </c>
      <c r="E33" s="51">
        <v>5894</v>
      </c>
      <c r="F33" s="471" t="s">
        <v>134</v>
      </c>
      <c r="G33" s="472" t="s">
        <v>345</v>
      </c>
      <c r="H33" s="305"/>
      <c r="I33" s="308"/>
      <c r="J33" s="288" t="s">
        <v>554</v>
      </c>
      <c r="K33" s="60" t="s">
        <v>555</v>
      </c>
      <c r="L33" s="53"/>
      <c r="M33" s="72" t="s">
        <v>556</v>
      </c>
      <c r="N33" s="70" t="s">
        <v>557</v>
      </c>
      <c r="O33" s="200" t="s">
        <v>146</v>
      </c>
      <c r="P33" s="201" t="s">
        <v>146</v>
      </c>
      <c r="Q33" s="60" t="s">
        <v>352</v>
      </c>
      <c r="R33" s="202" t="str">
        <f>VLOOKUP(Sheet_1_Table_1_134[[#This Row],[Learning Domain]],[6]List!$A$7:$B$12,2,0)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8">
        <v>40</v>
      </c>
      <c r="AJ33" s="62">
        <f>Sheet_1_Table_1_134[[#This Row],[ILP Units Per Session]]*Sheet_1_Table_1_134[[#This Row],[Quota]]</f>
        <v>40</v>
      </c>
      <c r="AK33" s="184">
        <v>46321</v>
      </c>
      <c r="AL33" s="165">
        <f>WEEKDAY(Sheet_1_Table_1_134[[#This Row],[Lesson 1 
Date 
(DD-MMM-YYYY)]])</f>
        <v>2</v>
      </c>
      <c r="AM33" s="65">
        <v>0.66666666666666663</v>
      </c>
      <c r="AN33" s="66">
        <v>0.70833333333333337</v>
      </c>
      <c r="AO33" s="188"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83" t="s">
        <v>368</v>
      </c>
      <c r="BP33" s="69"/>
      <c r="BQ33" s="56"/>
      <c r="BR33" s="57"/>
      <c r="BS33" s="54"/>
      <c r="BT33" s="56"/>
      <c r="BU33" s="56"/>
      <c r="BV33" s="57"/>
      <c r="BW33" s="60"/>
      <c r="BX33" s="195"/>
      <c r="BY33" s="56"/>
      <c r="BZ33" s="56"/>
      <c r="CA33" s="56"/>
      <c r="CB33" s="72"/>
      <c r="CC33" s="72"/>
      <c r="CD33" s="72"/>
      <c r="CE33" s="60" t="s">
        <v>359</v>
      </c>
      <c r="CF33" s="72" t="s">
        <v>360</v>
      </c>
      <c r="CG33" s="56" t="s">
        <v>369</v>
      </c>
      <c r="CH33" s="57" t="s">
        <v>370</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558</v>
      </c>
      <c r="D34" s="50" t="s">
        <v>174</v>
      </c>
      <c r="E34" s="51">
        <v>5874</v>
      </c>
      <c r="F34" s="471" t="s">
        <v>134</v>
      </c>
      <c r="G34" s="472" t="s">
        <v>345</v>
      </c>
      <c r="H34" s="471" t="s">
        <v>346</v>
      </c>
      <c r="I34" s="657" t="s">
        <v>347</v>
      </c>
      <c r="J34" s="774" t="s">
        <v>559</v>
      </c>
      <c r="K34" s="775" t="s">
        <v>560</v>
      </c>
      <c r="L34" s="472"/>
      <c r="M34" s="662" t="s">
        <v>561</v>
      </c>
      <c r="N34" s="657" t="s">
        <v>562</v>
      </c>
      <c r="O34" s="200" t="s">
        <v>146</v>
      </c>
      <c r="P34" s="201" t="s">
        <v>146</v>
      </c>
      <c r="Q34" s="60" t="s">
        <v>352</v>
      </c>
      <c r="R34" s="208" t="str">
        <f>VLOOKUP(Sheet_1_Table_1_134[[#This Row],[Learning Domain]],[6]List!$A$7:$B$12,2,0)</f>
        <v>IED</v>
      </c>
      <c r="S34" s="471">
        <v>30</v>
      </c>
      <c r="T34" s="644">
        <v>0</v>
      </c>
      <c r="U34" s="644">
        <v>0</v>
      </c>
      <c r="V34" s="644">
        <v>0</v>
      </c>
      <c r="W34" s="644">
        <v>0</v>
      </c>
      <c r="X34" s="644">
        <v>0</v>
      </c>
      <c r="Y34" s="644">
        <v>0</v>
      </c>
      <c r="Z34" s="644">
        <v>0</v>
      </c>
      <c r="AA34" s="644">
        <v>70</v>
      </c>
      <c r="AB34" s="53">
        <f>SUM(Sheet_1_Table_1_134[[#This Row],[Leadership LS]:[Career Development  CR]])</f>
        <v>100</v>
      </c>
      <c r="AC34" s="52" t="s">
        <v>199</v>
      </c>
      <c r="AD34" s="55" t="s">
        <v>353</v>
      </c>
      <c r="AE34" s="55" t="s">
        <v>142</v>
      </c>
      <c r="AF34" s="55" t="s">
        <v>146</v>
      </c>
      <c r="AG34" s="55" t="s">
        <v>142</v>
      </c>
      <c r="AH34" s="55">
        <v>2</v>
      </c>
      <c r="AI34" s="55">
        <v>100</v>
      </c>
      <c r="AJ34" s="62">
        <f>Sheet_1_Table_1_134[[#This Row],[ILP Units Per Session]]*Sheet_1_Table_1_134[[#This Row],[Quota]]</f>
        <v>200</v>
      </c>
      <c r="AK34" s="184">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291</v>
      </c>
      <c r="BP34" s="69" t="s">
        <v>354</v>
      </c>
      <c r="BQ34" s="56" t="s">
        <v>355</v>
      </c>
      <c r="BR34" s="57" t="s">
        <v>356</v>
      </c>
      <c r="BS34" s="52"/>
      <c r="BT34" s="56"/>
      <c r="BU34" s="56"/>
      <c r="BV34" s="70"/>
      <c r="BW34" s="60"/>
      <c r="BX34" s="71"/>
      <c r="BY34" s="56" t="s">
        <v>184</v>
      </c>
      <c r="BZ34" s="56"/>
      <c r="CA34" s="56" t="s">
        <v>184</v>
      </c>
      <c r="CB34" s="203" t="s">
        <v>563</v>
      </c>
      <c r="CC34" s="203" t="s">
        <v>564</v>
      </c>
      <c r="CD34" s="204">
        <v>53628769</v>
      </c>
      <c r="CE34" s="60" t="s">
        <v>359</v>
      </c>
      <c r="CF34" s="71" t="s">
        <v>360</v>
      </c>
      <c r="CG34" s="56" t="s">
        <v>361</v>
      </c>
      <c r="CH34" s="57" t="s">
        <v>362</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565</v>
      </c>
      <c r="D35" s="50" t="s">
        <v>174</v>
      </c>
      <c r="E35" s="51">
        <v>5876</v>
      </c>
      <c r="F35" s="471" t="s">
        <v>134</v>
      </c>
      <c r="G35" s="472" t="s">
        <v>345</v>
      </c>
      <c r="H35" s="304" t="s">
        <v>346</v>
      </c>
      <c r="I35" s="310" t="s">
        <v>347</v>
      </c>
      <c r="J35" s="774" t="s">
        <v>566</v>
      </c>
      <c r="K35" s="775" t="s">
        <v>567</v>
      </c>
      <c r="L35" s="472"/>
      <c r="M35" s="662" t="s">
        <v>568</v>
      </c>
      <c r="N35" s="657" t="s">
        <v>569</v>
      </c>
      <c r="O35" s="200" t="s">
        <v>146</v>
      </c>
      <c r="P35" s="201" t="s">
        <v>146</v>
      </c>
      <c r="Q35" s="60" t="s">
        <v>352</v>
      </c>
      <c r="R35" s="202" t="str">
        <f>VLOOKUP(Sheet_1_Table_1_134[[#This Row],[Learning Domain]],[6]List!$A$7:$B$12,2,0)</f>
        <v>IED</v>
      </c>
      <c r="S35" s="471">
        <v>0</v>
      </c>
      <c r="T35" s="644">
        <v>0</v>
      </c>
      <c r="U35" s="644">
        <v>0</v>
      </c>
      <c r="V35" s="644">
        <v>0</v>
      </c>
      <c r="W35" s="644">
        <v>0</v>
      </c>
      <c r="X35" s="644">
        <v>0</v>
      </c>
      <c r="Y35" s="644">
        <v>0</v>
      </c>
      <c r="Z35" s="644">
        <v>0</v>
      </c>
      <c r="AA35" s="64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8" t="s">
        <v>263</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291</v>
      </c>
      <c r="BP35" s="69" t="s">
        <v>570</v>
      </c>
      <c r="BQ35" s="56" t="s">
        <v>406</v>
      </c>
      <c r="BR35" s="57" t="s">
        <v>571</v>
      </c>
      <c r="BS35" s="52"/>
      <c r="BT35" s="56"/>
      <c r="BU35" s="56"/>
      <c r="BV35" s="70"/>
      <c r="BW35" s="60"/>
      <c r="BX35" s="71"/>
      <c r="BY35" s="56" t="s">
        <v>149</v>
      </c>
      <c r="BZ35" s="56"/>
      <c r="CA35" s="56" t="s">
        <v>149</v>
      </c>
      <c r="CB35" s="72"/>
      <c r="CC35" s="72"/>
      <c r="CD35" s="71"/>
      <c r="CE35" s="60" t="s">
        <v>359</v>
      </c>
      <c r="CF35" s="71" t="s">
        <v>360</v>
      </c>
      <c r="CG35" s="56" t="s">
        <v>361</v>
      </c>
      <c r="CH35" s="57" t="s">
        <v>362</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572</v>
      </c>
      <c r="D36" s="50" t="s">
        <v>174</v>
      </c>
      <c r="E36" s="51">
        <v>5885</v>
      </c>
      <c r="F36" s="471" t="s">
        <v>134</v>
      </c>
      <c r="G36" s="472" t="s">
        <v>345</v>
      </c>
      <c r="H36" s="305"/>
      <c r="I36" s="308"/>
      <c r="J36" s="232"/>
      <c r="K36" s="60" t="s">
        <v>573</v>
      </c>
      <c r="L36" s="53"/>
      <c r="M36" s="72" t="s">
        <v>574</v>
      </c>
      <c r="N36" s="70" t="s">
        <v>575</v>
      </c>
      <c r="O36" s="200" t="s">
        <v>146</v>
      </c>
      <c r="P36" s="201" t="s">
        <v>146</v>
      </c>
      <c r="Q36" s="60" t="s">
        <v>352</v>
      </c>
      <c r="R36" s="208" t="str">
        <f>VLOOKUP(Sheet_1_Table_1_134[[#This Row],[Learning Domain]],[6]List!$A$7:$B$12,2,0)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20">
        <v>46325</v>
      </c>
      <c r="AL36" s="322" t="s">
        <v>576</v>
      </c>
      <c r="AM36" s="324">
        <v>0.66666666666666663</v>
      </c>
      <c r="AN36" s="326">
        <v>0.72916666666666663</v>
      </c>
      <c r="AO36" s="328" t="s">
        <v>577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83" t="s">
        <v>578</v>
      </c>
      <c r="BP36" s="69"/>
      <c r="BQ36" s="56"/>
      <c r="BR36" s="57"/>
      <c r="BS36" s="52"/>
      <c r="BT36" s="56"/>
      <c r="BU36" s="56"/>
      <c r="BV36" s="70"/>
      <c r="BW36" s="60"/>
      <c r="BX36" s="71"/>
      <c r="BY36" s="56"/>
      <c r="BZ36" s="56"/>
      <c r="CA36" s="56"/>
      <c r="CB36" s="72"/>
      <c r="CC36" s="72"/>
      <c r="CD36" s="71"/>
      <c r="CE36" s="60" t="s">
        <v>359</v>
      </c>
      <c r="CF36" s="71" t="s">
        <v>360</v>
      </c>
      <c r="CG36" s="56" t="s">
        <v>369</v>
      </c>
      <c r="CH36" s="57" t="s">
        <v>370</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302">
        <v>202609</v>
      </c>
      <c r="C37" s="265" t="s">
        <v>579</v>
      </c>
      <c r="D37" s="265" t="s">
        <v>204</v>
      </c>
      <c r="E37" s="266">
        <v>5892</v>
      </c>
      <c r="F37" s="303" t="s">
        <v>134</v>
      </c>
      <c r="G37" s="267" t="s">
        <v>345</v>
      </c>
      <c r="H37" s="306" t="s">
        <v>346</v>
      </c>
      <c r="I37" s="309" t="s">
        <v>347</v>
      </c>
      <c r="J37" s="313" t="s">
        <v>390</v>
      </c>
      <c r="K37" s="268" t="s">
        <v>391</v>
      </c>
      <c r="L37" s="267" t="s">
        <v>2224</v>
      </c>
      <c r="M37" s="314" t="s">
        <v>393</v>
      </c>
      <c r="N37" s="315" t="s">
        <v>476</v>
      </c>
      <c r="O37" s="316" t="s">
        <v>146</v>
      </c>
      <c r="P37" s="317" t="s">
        <v>146</v>
      </c>
      <c r="Q37" s="269" t="s">
        <v>352</v>
      </c>
      <c r="R37" s="270" t="s">
        <v>580</v>
      </c>
      <c r="S37" s="318">
        <v>30</v>
      </c>
      <c r="T37" s="271">
        <v>0</v>
      </c>
      <c r="U37" s="271">
        <v>0</v>
      </c>
      <c r="V37" s="271">
        <v>0</v>
      </c>
      <c r="W37" s="271">
        <v>70</v>
      </c>
      <c r="X37" s="271">
        <v>0</v>
      </c>
      <c r="Y37" s="271">
        <v>0</v>
      </c>
      <c r="Z37" s="271">
        <v>0</v>
      </c>
      <c r="AA37" s="271">
        <v>0</v>
      </c>
      <c r="AB37" s="266">
        <v>100</v>
      </c>
      <c r="AC37" s="318" t="s">
        <v>144</v>
      </c>
      <c r="AD37" s="271" t="s">
        <v>353</v>
      </c>
      <c r="AE37" s="271" t="s">
        <v>146</v>
      </c>
      <c r="AF37" s="271" t="s">
        <v>142</v>
      </c>
      <c r="AG37" s="271" t="s">
        <v>142</v>
      </c>
      <c r="AH37" s="271">
        <v>1</v>
      </c>
      <c r="AI37" s="271">
        <v>100</v>
      </c>
      <c r="AJ37" s="272">
        <v>200</v>
      </c>
      <c r="AK37" s="273">
        <v>46330</v>
      </c>
      <c r="AL37" s="274">
        <f>WEEKDAY(Sheet_1_Table_1_134[[#This Row],[Lesson 1 
Date 
(DD-MMM-YYYY)]])</f>
        <v>4</v>
      </c>
      <c r="AM37" s="275">
        <v>0.79166666666666663</v>
      </c>
      <c r="AN37" s="276">
        <v>0.875</v>
      </c>
      <c r="AO37" s="277" t="s">
        <v>477</v>
      </c>
      <c r="AP37" s="278"/>
      <c r="AQ37" s="274">
        <v>7</v>
      </c>
      <c r="AR37" s="275"/>
      <c r="AS37" s="276"/>
      <c r="AT37" s="276"/>
      <c r="AU37" s="273"/>
      <c r="AV37" s="274">
        <v>7</v>
      </c>
      <c r="AW37" s="275"/>
      <c r="AX37" s="276"/>
      <c r="AY37" s="277"/>
      <c r="AZ37" s="278"/>
      <c r="BA37" s="274">
        <v>7</v>
      </c>
      <c r="BB37" s="275"/>
      <c r="BC37" s="276"/>
      <c r="BD37" s="276"/>
      <c r="BE37" s="273"/>
      <c r="BF37" s="274">
        <v>7</v>
      </c>
      <c r="BG37" s="275"/>
      <c r="BH37" s="276"/>
      <c r="BI37" s="277"/>
      <c r="BJ37" s="278"/>
      <c r="BK37" s="274">
        <v>7</v>
      </c>
      <c r="BL37" s="275"/>
      <c r="BM37" s="276"/>
      <c r="BN37" s="276"/>
      <c r="BO37" s="279"/>
      <c r="BP37" s="280" t="s">
        <v>396</v>
      </c>
      <c r="BQ37" s="281"/>
      <c r="BR37" s="282"/>
      <c r="BS37" s="318"/>
      <c r="BT37" s="281"/>
      <c r="BU37" s="281"/>
      <c r="BV37" s="330"/>
      <c r="BW37" s="269"/>
      <c r="BX37" s="331"/>
      <c r="BY37" s="281"/>
      <c r="BZ37" s="281"/>
      <c r="CA37" s="281"/>
      <c r="CB37" s="283" t="s">
        <v>581</v>
      </c>
      <c r="CC37" s="283" t="s">
        <v>582</v>
      </c>
      <c r="CD37" s="331">
        <v>61094085</v>
      </c>
      <c r="CE37" s="269" t="s">
        <v>359</v>
      </c>
      <c r="CF37" s="331" t="s">
        <v>360</v>
      </c>
      <c r="CG37" s="281" t="s">
        <v>397</v>
      </c>
      <c r="CH37" s="282" t="s">
        <v>398</v>
      </c>
      <c r="CI37" s="318" t="s">
        <v>142</v>
      </c>
      <c r="CJ37" s="318" t="s">
        <v>142</v>
      </c>
      <c r="CK37" s="318" t="s">
        <v>142</v>
      </c>
      <c r="CL37" s="318" t="s">
        <v>142</v>
      </c>
      <c r="CM37" s="318" t="s">
        <v>146</v>
      </c>
      <c r="CN37" s="318" t="s">
        <v>146</v>
      </c>
      <c r="CO37" s="318" t="s">
        <v>142</v>
      </c>
      <c r="CP37" s="318" t="s">
        <v>142</v>
      </c>
      <c r="CQ37" s="318" t="s">
        <v>142</v>
      </c>
      <c r="CR37" s="318" t="s">
        <v>142</v>
      </c>
      <c r="CS37" s="318" t="s">
        <v>142</v>
      </c>
      <c r="CT37" s="318" t="s">
        <v>142</v>
      </c>
      <c r="CU37" s="318" t="s">
        <v>142</v>
      </c>
      <c r="CV37" s="318" t="s">
        <v>142</v>
      </c>
      <c r="CW37" s="318" t="s">
        <v>142</v>
      </c>
      <c r="CX37" s="318" t="s">
        <v>142</v>
      </c>
      <c r="CY37" s="318" t="s">
        <v>142</v>
      </c>
      <c r="CZ37" s="335" t="s">
        <v>142</v>
      </c>
      <c r="DA37" s="279" t="s">
        <v>154</v>
      </c>
      <c r="DB37" s="265" t="s">
        <v>155</v>
      </c>
      <c r="DC37" s="265" t="s">
        <v>156</v>
      </c>
      <c r="DD37" s="265" t="s">
        <v>146</v>
      </c>
      <c r="DE37" s="265" t="s">
        <v>157</v>
      </c>
      <c r="DF37" s="265" t="s">
        <v>146</v>
      </c>
      <c r="DG37" s="284"/>
      <c r="DH37" s="284"/>
      <c r="DI37" s="336"/>
      <c r="DJ37" s="284"/>
      <c r="DK37" s="285" t="s">
        <v>146</v>
      </c>
      <c r="DL37" s="285" t="s">
        <v>146</v>
      </c>
      <c r="DM37" s="285"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583</v>
      </c>
      <c r="D38" s="50" t="s">
        <v>204</v>
      </c>
      <c r="E38" s="51">
        <v>5917</v>
      </c>
      <c r="F38" s="471" t="s">
        <v>134</v>
      </c>
      <c r="G38" s="472" t="s">
        <v>345</v>
      </c>
      <c r="H38" s="305" t="s">
        <v>372</v>
      </c>
      <c r="I38" s="308" t="s">
        <v>373</v>
      </c>
      <c r="J38" s="232" t="s">
        <v>584</v>
      </c>
      <c r="K38" s="141" t="s">
        <v>585</v>
      </c>
      <c r="L38" s="53"/>
      <c r="M38" s="72" t="s">
        <v>586</v>
      </c>
      <c r="N38" s="70" t="s">
        <v>587</v>
      </c>
      <c r="O38" s="200" t="s">
        <v>146</v>
      </c>
      <c r="P38" s="201" t="s">
        <v>146</v>
      </c>
      <c r="Q38" s="60" t="s">
        <v>352</v>
      </c>
      <c r="R38" s="208" t="str">
        <f>VLOOKUP(Sheet_1_Table_1_134[[#This Row],[Learning Domain]],[6]List!$A$7:$B$12,2,0)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94">
        <v>46330</v>
      </c>
      <c r="AL38" s="64">
        <f>WEEKDAY(Sheet_1_Table_1_134[[#This Row],[Lesson 1 
Date 
(DD-MMM-YYYY)]])</f>
        <v>4</v>
      </c>
      <c r="AM38" s="65">
        <v>0.64583333333333337</v>
      </c>
      <c r="AN38" s="66">
        <v>0.72916666666666663</v>
      </c>
      <c r="AO38" s="188" t="s">
        <v>588</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589</v>
      </c>
      <c r="BQ38" s="56" t="s">
        <v>409</v>
      </c>
      <c r="BR38" s="295" t="s">
        <v>590</v>
      </c>
      <c r="BS38" s="52"/>
      <c r="BT38" s="56"/>
      <c r="BU38" s="56"/>
      <c r="BV38" s="70"/>
      <c r="BW38" s="60"/>
      <c r="BX38" s="71"/>
      <c r="BY38" s="56"/>
      <c r="BZ38" s="56"/>
      <c r="CA38" s="56"/>
      <c r="CB38" s="72"/>
      <c r="CC38" s="72"/>
      <c r="CD38" s="71"/>
      <c r="CE38" s="60" t="s">
        <v>591</v>
      </c>
      <c r="CF38" s="71" t="s">
        <v>592</v>
      </c>
      <c r="CG38" s="69" t="s">
        <v>270</v>
      </c>
      <c r="CH38" s="137" t="s">
        <v>271</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593</v>
      </c>
      <c r="D39" s="50" t="s">
        <v>204</v>
      </c>
      <c r="E39" s="51">
        <v>5896</v>
      </c>
      <c r="F39" s="471" t="s">
        <v>134</v>
      </c>
      <c r="G39" s="472" t="s">
        <v>345</v>
      </c>
      <c r="H39" s="305"/>
      <c r="I39" s="308"/>
      <c r="J39" s="288" t="s">
        <v>594</v>
      </c>
      <c r="K39" s="60" t="s">
        <v>595</v>
      </c>
      <c r="L39" s="53"/>
      <c r="M39" s="72" t="s">
        <v>596</v>
      </c>
      <c r="N39" s="70" t="s">
        <v>597</v>
      </c>
      <c r="O39" s="200" t="s">
        <v>146</v>
      </c>
      <c r="P39" s="201" t="s">
        <v>146</v>
      </c>
      <c r="Q39" s="60" t="s">
        <v>352</v>
      </c>
      <c r="R39" s="208" t="str">
        <f>VLOOKUP(Sheet_1_Table_1_134[[#This Row],[Learning Domain]],[6]List!$A$7:$B$12,2,0)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8">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8"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368</v>
      </c>
      <c r="BQ39" s="56"/>
      <c r="BR39" s="57"/>
      <c r="BS39" s="54"/>
      <c r="BT39" s="56"/>
      <c r="BU39" s="56"/>
      <c r="BV39" s="57"/>
      <c r="BW39" s="60"/>
      <c r="BX39" s="195"/>
      <c r="BY39" s="56"/>
      <c r="BZ39" s="56"/>
      <c r="CA39" s="56"/>
      <c r="CB39" s="72"/>
      <c r="CC39" s="72"/>
      <c r="CD39" s="72"/>
      <c r="CE39" s="60" t="s">
        <v>359</v>
      </c>
      <c r="CF39" s="72" t="s">
        <v>360</v>
      </c>
      <c r="CG39" s="56" t="s">
        <v>369</v>
      </c>
      <c r="CH39" s="57" t="s">
        <v>370</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598</v>
      </c>
      <c r="D40" s="50" t="s">
        <v>204</v>
      </c>
      <c r="E40" s="51">
        <v>5920</v>
      </c>
      <c r="F40" s="471" t="s">
        <v>134</v>
      </c>
      <c r="G40" s="472" t="s">
        <v>345</v>
      </c>
      <c r="H40" s="80" t="s">
        <v>416</v>
      </c>
      <c r="I40" s="300" t="s">
        <v>417</v>
      </c>
      <c r="J40" s="232" t="s">
        <v>599</v>
      </c>
      <c r="K40" s="141" t="s">
        <v>600</v>
      </c>
      <c r="L40" s="53"/>
      <c r="M40" s="72" t="s">
        <v>601</v>
      </c>
      <c r="N40" s="70" t="s">
        <v>602</v>
      </c>
      <c r="O40" s="200" t="s">
        <v>146</v>
      </c>
      <c r="P40" s="201" t="s">
        <v>146</v>
      </c>
      <c r="Q40" s="60" t="s">
        <v>352</v>
      </c>
      <c r="R40" s="208" t="str">
        <f>VLOOKUP(Sheet_1_Table_1_134[[#This Row],[Learning Domain]],[6]List!$A$7:$B$12,2,0)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6">
        <v>0.6875</v>
      </c>
      <c r="AN40" s="187">
        <v>0.77083333333333337</v>
      </c>
      <c r="AO40" s="188" t="s">
        <v>603</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291</v>
      </c>
      <c r="BP40" s="69" t="s">
        <v>422</v>
      </c>
      <c r="BQ40" s="56" t="s">
        <v>423</v>
      </c>
      <c r="BR40" s="57" t="s">
        <v>424</v>
      </c>
      <c r="BS40" s="52"/>
      <c r="BT40" s="56"/>
      <c r="BU40" s="56"/>
      <c r="BV40" s="70"/>
      <c r="BW40" s="60"/>
      <c r="BX40" s="71"/>
      <c r="BY40" s="56"/>
      <c r="BZ40" s="56"/>
      <c r="CA40" s="56"/>
      <c r="CB40" s="72"/>
      <c r="CC40" s="72"/>
      <c r="CD40" s="71"/>
      <c r="CE40" s="60" t="s">
        <v>359</v>
      </c>
      <c r="CF40" s="71" t="s">
        <v>360</v>
      </c>
      <c r="CG40" s="56" t="s">
        <v>413</v>
      </c>
      <c r="CH40" s="301" t="s">
        <v>414</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604</v>
      </c>
      <c r="D41" s="50" t="s">
        <v>133</v>
      </c>
      <c r="E41" s="51">
        <v>5879</v>
      </c>
      <c r="F41" s="471" t="s">
        <v>134</v>
      </c>
      <c r="G41" s="472" t="s">
        <v>345</v>
      </c>
      <c r="H41" s="779" t="s">
        <v>346</v>
      </c>
      <c r="I41" s="780" t="s">
        <v>347</v>
      </c>
      <c r="J41" s="774" t="s">
        <v>605</v>
      </c>
      <c r="K41" s="775" t="s">
        <v>606</v>
      </c>
      <c r="L41" s="472"/>
      <c r="M41" s="662" t="s">
        <v>607</v>
      </c>
      <c r="N41" s="657" t="s">
        <v>608</v>
      </c>
      <c r="O41" s="228" t="s">
        <v>142</v>
      </c>
      <c r="P41" s="229" t="s">
        <v>142</v>
      </c>
      <c r="Q41" s="60" t="s">
        <v>352</v>
      </c>
      <c r="R41" s="202" t="str">
        <f>VLOOKUP(Sheet_1_Table_1_134[[#This Row],[Learning Domain]],[6]List!$A$7:$B$12,2,0)</f>
        <v>IED</v>
      </c>
      <c r="S41" s="471">
        <v>30</v>
      </c>
      <c r="T41" s="644">
        <v>0</v>
      </c>
      <c r="U41" s="644">
        <v>0</v>
      </c>
      <c r="V41" s="644">
        <v>0</v>
      </c>
      <c r="W41" s="644">
        <v>0</v>
      </c>
      <c r="X41" s="644">
        <v>0</v>
      </c>
      <c r="Y41" s="644">
        <v>0</v>
      </c>
      <c r="Z41" s="644">
        <v>0</v>
      </c>
      <c r="AA41" s="64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7">
        <v>0.8125</v>
      </c>
      <c r="AO41" s="188" t="s">
        <v>609</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291</v>
      </c>
      <c r="BP41" s="69" t="s">
        <v>610</v>
      </c>
      <c r="BQ41" s="56" t="s">
        <v>611</v>
      </c>
      <c r="BR41" s="57" t="s">
        <v>612</v>
      </c>
      <c r="BS41" s="52"/>
      <c r="BT41" s="56"/>
      <c r="BU41" s="56"/>
      <c r="BV41" s="70"/>
      <c r="BW41" s="60"/>
      <c r="BX41" s="71"/>
      <c r="BY41" s="56"/>
      <c r="BZ41" s="56"/>
      <c r="CA41" s="56"/>
      <c r="CB41" s="72"/>
      <c r="CC41" s="72"/>
      <c r="CD41" s="71"/>
      <c r="CE41" s="60" t="s">
        <v>359</v>
      </c>
      <c r="CF41" s="71" t="s">
        <v>360</v>
      </c>
      <c r="CG41" s="56" t="s">
        <v>361</v>
      </c>
      <c r="CH41" s="57" t="s">
        <v>362</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613</v>
      </c>
      <c r="D42" s="50" t="s">
        <v>204</v>
      </c>
      <c r="E42" s="51">
        <v>5886</v>
      </c>
      <c r="F42" s="471" t="s">
        <v>134</v>
      </c>
      <c r="G42" s="472" t="s">
        <v>345</v>
      </c>
      <c r="H42" s="779" t="s">
        <v>346</v>
      </c>
      <c r="I42" s="308"/>
      <c r="J42" s="232"/>
      <c r="K42" s="60" t="s">
        <v>614</v>
      </c>
      <c r="L42" s="53"/>
      <c r="M42" s="72" t="s">
        <v>615</v>
      </c>
      <c r="N42" s="70" t="s">
        <v>616</v>
      </c>
      <c r="O42" s="200" t="s">
        <v>146</v>
      </c>
      <c r="P42" s="201" t="s">
        <v>146</v>
      </c>
      <c r="Q42" s="60" t="s">
        <v>352</v>
      </c>
      <c r="R42" s="208" t="str">
        <f>VLOOKUP(Sheet_1_Table_1_134[[#This Row],[Learning Domain]],[6]List!$A$7:$B$12,2,0)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84">
        <v>46342</v>
      </c>
      <c r="AL42" s="64">
        <f>WEEKDAY(Sheet_1_Table_1_134[[#This Row],[Lesson 1 
Date 
(DD-MMM-YYYY)]])</f>
        <v>2</v>
      </c>
      <c r="AM42" s="65">
        <v>0.66666666666666663</v>
      </c>
      <c r="AN42" s="66">
        <v>0.70833333333333337</v>
      </c>
      <c r="AO42" s="188" t="s">
        <v>263</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83" t="s">
        <v>617</v>
      </c>
      <c r="BP42" s="69"/>
      <c r="BQ42" s="56"/>
      <c r="BR42" s="57"/>
      <c r="BS42" s="52"/>
      <c r="BT42" s="56"/>
      <c r="BU42" s="56"/>
      <c r="BV42" s="70"/>
      <c r="BW42" s="60"/>
      <c r="BX42" s="71"/>
      <c r="BY42" s="56"/>
      <c r="BZ42" s="56"/>
      <c r="CA42" s="56"/>
      <c r="CB42" s="72"/>
      <c r="CC42" s="72"/>
      <c r="CD42" s="71"/>
      <c r="CE42" s="60" t="s">
        <v>359</v>
      </c>
      <c r="CF42" s="71" t="s">
        <v>360</v>
      </c>
      <c r="CG42" s="56" t="s">
        <v>369</v>
      </c>
      <c r="CH42" s="57" t="s">
        <v>370</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302">
        <v>202609</v>
      </c>
      <c r="C43" s="265" t="s">
        <v>618</v>
      </c>
      <c r="D43" s="265" t="s">
        <v>133</v>
      </c>
      <c r="E43" s="266">
        <v>5893</v>
      </c>
      <c r="F43" s="303" t="s">
        <v>134</v>
      </c>
      <c r="G43" s="267" t="s">
        <v>345</v>
      </c>
      <c r="H43" s="306" t="s">
        <v>346</v>
      </c>
      <c r="I43" s="309" t="s">
        <v>347</v>
      </c>
      <c r="J43" s="313" t="s">
        <v>390</v>
      </c>
      <c r="K43" s="268" t="s">
        <v>391</v>
      </c>
      <c r="L43" s="267" t="s">
        <v>619</v>
      </c>
      <c r="M43" s="314" t="s">
        <v>393</v>
      </c>
      <c r="N43" s="315" t="s">
        <v>476</v>
      </c>
      <c r="O43" s="316" t="s">
        <v>142</v>
      </c>
      <c r="P43" s="317" t="s">
        <v>142</v>
      </c>
      <c r="Q43" s="269" t="s">
        <v>352</v>
      </c>
      <c r="R43" s="270" t="s">
        <v>580</v>
      </c>
      <c r="S43" s="318">
        <v>30</v>
      </c>
      <c r="T43" s="271">
        <v>0</v>
      </c>
      <c r="U43" s="271">
        <v>0</v>
      </c>
      <c r="V43" s="271">
        <v>0</v>
      </c>
      <c r="W43" s="271">
        <v>70</v>
      </c>
      <c r="X43" s="271">
        <v>0</v>
      </c>
      <c r="Y43" s="271">
        <v>0</v>
      </c>
      <c r="Z43" s="271">
        <v>0</v>
      </c>
      <c r="AA43" s="271">
        <v>0</v>
      </c>
      <c r="AB43" s="266">
        <v>100</v>
      </c>
      <c r="AC43" s="318" t="s">
        <v>144</v>
      </c>
      <c r="AD43" s="271" t="s">
        <v>190</v>
      </c>
      <c r="AE43" s="271" t="s">
        <v>146</v>
      </c>
      <c r="AF43" s="271" t="s">
        <v>142</v>
      </c>
      <c r="AG43" s="271" t="s">
        <v>142</v>
      </c>
      <c r="AH43" s="271">
        <v>1.5</v>
      </c>
      <c r="AI43" s="271">
        <v>25</v>
      </c>
      <c r="AJ43" s="272">
        <v>200</v>
      </c>
      <c r="AK43" s="273">
        <v>46351</v>
      </c>
      <c r="AL43" s="274"/>
      <c r="AM43" s="275">
        <v>0.79166666666666663</v>
      </c>
      <c r="AN43" s="276">
        <v>0.875</v>
      </c>
      <c r="AO43" s="277" t="s">
        <v>395</v>
      </c>
      <c r="AP43" s="278"/>
      <c r="AQ43" s="274">
        <v>7</v>
      </c>
      <c r="AR43" s="275"/>
      <c r="AS43" s="276"/>
      <c r="AT43" s="276"/>
      <c r="AU43" s="273"/>
      <c r="AV43" s="274">
        <v>7</v>
      </c>
      <c r="AW43" s="275"/>
      <c r="AX43" s="276"/>
      <c r="AY43" s="277"/>
      <c r="AZ43" s="278"/>
      <c r="BA43" s="274">
        <v>7</v>
      </c>
      <c r="BB43" s="275"/>
      <c r="BC43" s="276"/>
      <c r="BD43" s="276"/>
      <c r="BE43" s="273"/>
      <c r="BF43" s="274">
        <v>7</v>
      </c>
      <c r="BG43" s="275"/>
      <c r="BH43" s="276"/>
      <c r="BI43" s="277"/>
      <c r="BJ43" s="278"/>
      <c r="BK43" s="274">
        <v>7</v>
      </c>
      <c r="BL43" s="275"/>
      <c r="BM43" s="276"/>
      <c r="BN43" s="276"/>
      <c r="BO43" s="279"/>
      <c r="BP43" s="280" t="s">
        <v>396</v>
      </c>
      <c r="BQ43" s="281"/>
      <c r="BR43" s="282"/>
      <c r="BS43" s="318"/>
      <c r="BT43" s="281"/>
      <c r="BU43" s="281"/>
      <c r="BV43" s="330"/>
      <c r="BW43" s="269"/>
      <c r="BX43" s="331"/>
      <c r="BY43" s="281"/>
      <c r="BZ43" s="281"/>
      <c r="CA43" s="281"/>
      <c r="CB43" s="283"/>
      <c r="CC43" s="283"/>
      <c r="CD43" s="331"/>
      <c r="CE43" s="269" t="s">
        <v>359</v>
      </c>
      <c r="CF43" s="331" t="s">
        <v>360</v>
      </c>
      <c r="CG43" s="281" t="s">
        <v>397</v>
      </c>
      <c r="CH43" s="282" t="s">
        <v>398</v>
      </c>
      <c r="CI43" s="318" t="s">
        <v>142</v>
      </c>
      <c r="CJ43" s="318" t="s">
        <v>142</v>
      </c>
      <c r="CK43" s="318" t="s">
        <v>142</v>
      </c>
      <c r="CL43" s="318" t="s">
        <v>142</v>
      </c>
      <c r="CM43" s="318" t="s">
        <v>146</v>
      </c>
      <c r="CN43" s="318" t="s">
        <v>146</v>
      </c>
      <c r="CO43" s="318" t="s">
        <v>142</v>
      </c>
      <c r="CP43" s="318" t="s">
        <v>142</v>
      </c>
      <c r="CQ43" s="318" t="s">
        <v>142</v>
      </c>
      <c r="CR43" s="318" t="s">
        <v>142</v>
      </c>
      <c r="CS43" s="318" t="s">
        <v>142</v>
      </c>
      <c r="CT43" s="318" t="s">
        <v>142</v>
      </c>
      <c r="CU43" s="318" t="s">
        <v>142</v>
      </c>
      <c r="CV43" s="318" t="s">
        <v>142</v>
      </c>
      <c r="CW43" s="318" t="s">
        <v>142</v>
      </c>
      <c r="CX43" s="318" t="s">
        <v>142</v>
      </c>
      <c r="CY43" s="318" t="s">
        <v>142</v>
      </c>
      <c r="CZ43" s="335" t="s">
        <v>142</v>
      </c>
      <c r="DA43" s="279" t="s">
        <v>154</v>
      </c>
      <c r="DB43" s="265" t="s">
        <v>155</v>
      </c>
      <c r="DC43" s="265" t="s">
        <v>156</v>
      </c>
      <c r="DD43" s="265" t="s">
        <v>146</v>
      </c>
      <c r="DE43" s="265" t="s">
        <v>157</v>
      </c>
      <c r="DF43" s="265" t="s">
        <v>146</v>
      </c>
      <c r="DG43" s="284"/>
      <c r="DH43" s="284"/>
      <c r="DI43" s="336"/>
      <c r="DJ43" s="284"/>
      <c r="DK43" s="285" t="s">
        <v>146</v>
      </c>
      <c r="DL43" s="285" t="s">
        <v>146</v>
      </c>
      <c r="DM43" s="285"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462</v>
      </c>
      <c r="D44" s="50" t="s">
        <v>133</v>
      </c>
      <c r="E44" s="51">
        <v>5907</v>
      </c>
      <c r="F44" s="471" t="s">
        <v>134</v>
      </c>
      <c r="G44" s="472" t="s">
        <v>345</v>
      </c>
      <c r="H44" s="778" t="s">
        <v>346</v>
      </c>
      <c r="I44" s="645" t="s">
        <v>347</v>
      </c>
      <c r="J44" s="774"/>
      <c r="K44" s="775" t="s">
        <v>463</v>
      </c>
      <c r="L44" s="472"/>
      <c r="M44" s="72" t="s">
        <v>464</v>
      </c>
      <c r="N44" s="70" t="s">
        <v>465</v>
      </c>
      <c r="O44" s="291" t="s">
        <v>142</v>
      </c>
      <c r="P44" s="292" t="s">
        <v>142</v>
      </c>
      <c r="Q44" s="60" t="s">
        <v>352</v>
      </c>
      <c r="R44" s="208" t="str">
        <f>VLOOKUP(Sheet_1_Table_1_134[[#This Row],[Learning Domain]],[6]List!$A$7:$B$12,2,0)</f>
        <v>IED</v>
      </c>
      <c r="S44" s="471">
        <v>0</v>
      </c>
      <c r="T44" s="644">
        <v>0</v>
      </c>
      <c r="U44" s="644">
        <v>0</v>
      </c>
      <c r="V44" s="644">
        <v>0</v>
      </c>
      <c r="W44" s="644">
        <v>0</v>
      </c>
      <c r="X44" s="644">
        <v>0</v>
      </c>
      <c r="Y44" s="644">
        <v>0</v>
      </c>
      <c r="Z44" s="644">
        <v>0</v>
      </c>
      <c r="AA44" s="644">
        <v>100</v>
      </c>
      <c r="AB44" s="53">
        <f>SUM(Sheet_1_Table_1_134[[#This Row],[Leadership LS]:[Career Development  CR]])</f>
        <v>100</v>
      </c>
      <c r="AC44" s="97" t="s">
        <v>199</v>
      </c>
      <c r="AD44" s="178" t="s">
        <v>353</v>
      </c>
      <c r="AE44" s="55" t="s">
        <v>146</v>
      </c>
      <c r="AF44" s="55" t="s">
        <v>142</v>
      </c>
      <c r="AG44" s="55" t="s">
        <v>142</v>
      </c>
      <c r="AH44" s="55">
        <v>1</v>
      </c>
      <c r="AI44" s="55">
        <v>60</v>
      </c>
      <c r="AJ44" s="62">
        <f>Sheet_1_Table_1_134[[#This Row],[ILP Units Per Session]]*Sheet_1_Table_1_134[[#This Row],[Quota]]</f>
        <v>60</v>
      </c>
      <c r="AK44" s="54" t="s">
        <v>620</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291</v>
      </c>
      <c r="BP44" s="69" t="s">
        <v>467</v>
      </c>
      <c r="BQ44" s="56" t="s">
        <v>468</v>
      </c>
      <c r="BR44" s="57" t="s">
        <v>469</v>
      </c>
      <c r="BS44" s="54"/>
      <c r="BT44" s="56"/>
      <c r="BU44" s="56"/>
      <c r="BV44" s="57"/>
      <c r="BW44" s="60"/>
      <c r="BX44" s="195"/>
      <c r="BY44" s="56"/>
      <c r="BZ44" s="56"/>
      <c r="CA44" s="56"/>
      <c r="CB44" s="72"/>
      <c r="CC44" s="72"/>
      <c r="CD44" s="72"/>
      <c r="CE44" s="60" t="s">
        <v>359</v>
      </c>
      <c r="CF44" s="72" t="s">
        <v>360</v>
      </c>
      <c r="CG44" s="56" t="s">
        <v>270</v>
      </c>
      <c r="CH44" s="57" t="s">
        <v>271</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470</v>
      </c>
      <c r="D45" s="50" t="s">
        <v>133</v>
      </c>
      <c r="E45" s="51">
        <v>5909</v>
      </c>
      <c r="F45" s="471" t="s">
        <v>134</v>
      </c>
      <c r="G45" s="472" t="s">
        <v>345</v>
      </c>
      <c r="H45" s="778" t="s">
        <v>346</v>
      </c>
      <c r="I45" s="645" t="s">
        <v>347</v>
      </c>
      <c r="J45" s="774"/>
      <c r="K45" s="775" t="s">
        <v>471</v>
      </c>
      <c r="L45" s="472"/>
      <c r="M45" s="72" t="s">
        <v>472</v>
      </c>
      <c r="N45" s="70" t="s">
        <v>473</v>
      </c>
      <c r="O45" s="291" t="s">
        <v>142</v>
      </c>
      <c r="P45" s="292" t="s">
        <v>142</v>
      </c>
      <c r="Q45" s="60" t="s">
        <v>352</v>
      </c>
      <c r="R45" s="208" t="str">
        <f>VLOOKUP(Sheet_1_Table_1_134[[#This Row],[Learning Domain]],[6]List!$A$7:$B$12,2,0)</f>
        <v>IED</v>
      </c>
      <c r="S45" s="471">
        <v>0</v>
      </c>
      <c r="T45" s="644">
        <v>0</v>
      </c>
      <c r="U45" s="644">
        <v>0</v>
      </c>
      <c r="V45" s="644">
        <v>0</v>
      </c>
      <c r="W45" s="644">
        <v>0</v>
      </c>
      <c r="X45" s="644">
        <v>0</v>
      </c>
      <c r="Y45" s="644">
        <v>0</v>
      </c>
      <c r="Z45" s="644">
        <v>0</v>
      </c>
      <c r="AA45" s="644">
        <v>100</v>
      </c>
      <c r="AB45" s="53">
        <f>SUM(Sheet_1_Table_1_134[[#This Row],[Leadership LS]:[Career Development  CR]])</f>
        <v>100</v>
      </c>
      <c r="AC45" s="97" t="s">
        <v>199</v>
      </c>
      <c r="AD45" s="178" t="s">
        <v>353</v>
      </c>
      <c r="AE45" s="55" t="s">
        <v>146</v>
      </c>
      <c r="AF45" s="55" t="s">
        <v>142</v>
      </c>
      <c r="AG45" s="55" t="s">
        <v>142</v>
      </c>
      <c r="AH45" s="55">
        <v>1</v>
      </c>
      <c r="AI45" s="55">
        <v>60</v>
      </c>
      <c r="AJ45" s="62">
        <f>Sheet_1_Table_1_134[[#This Row],[ILP Units Per Session]]*Sheet_1_Table_1_134[[#This Row],[Quota]]</f>
        <v>60</v>
      </c>
      <c r="AK45" s="54" t="s">
        <v>620</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291</v>
      </c>
      <c r="BP45" s="69" t="s">
        <v>467</v>
      </c>
      <c r="BQ45" s="56" t="s">
        <v>468</v>
      </c>
      <c r="BR45" s="57" t="s">
        <v>469</v>
      </c>
      <c r="BS45" s="54"/>
      <c r="BT45" s="56"/>
      <c r="BU45" s="56"/>
      <c r="BV45" s="57"/>
      <c r="BW45" s="60"/>
      <c r="BX45" s="195"/>
      <c r="BY45" s="56"/>
      <c r="BZ45" s="56"/>
      <c r="CA45" s="56"/>
      <c r="CB45" s="72"/>
      <c r="CC45" s="72"/>
      <c r="CD45" s="72"/>
      <c r="CE45" s="60" t="s">
        <v>359</v>
      </c>
      <c r="CF45" s="72" t="s">
        <v>360</v>
      </c>
      <c r="CG45" s="56" t="s">
        <v>270</v>
      </c>
      <c r="CH45" s="57" t="s">
        <v>271</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480</v>
      </c>
      <c r="D46" s="50" t="s">
        <v>133</v>
      </c>
      <c r="E46" s="51">
        <v>5910</v>
      </c>
      <c r="F46" s="471" t="s">
        <v>134</v>
      </c>
      <c r="G46" s="472" t="s">
        <v>345</v>
      </c>
      <c r="H46" s="778" t="s">
        <v>346</v>
      </c>
      <c r="I46" s="645" t="s">
        <v>347</v>
      </c>
      <c r="J46" s="774"/>
      <c r="K46" s="775" t="s">
        <v>481</v>
      </c>
      <c r="L46" s="472"/>
      <c r="M46" s="72" t="s">
        <v>482</v>
      </c>
      <c r="N46" s="70" t="s">
        <v>483</v>
      </c>
      <c r="O46" s="291" t="s">
        <v>142</v>
      </c>
      <c r="P46" s="292" t="s">
        <v>142</v>
      </c>
      <c r="Q46" s="60" t="s">
        <v>352</v>
      </c>
      <c r="R46" s="202" t="str">
        <f>VLOOKUP(Sheet_1_Table_1_134[[#This Row],[Learning Domain]],[6]List!$A$7:$B$12,2,0)</f>
        <v>IED</v>
      </c>
      <c r="S46" s="471">
        <v>0</v>
      </c>
      <c r="T46" s="644">
        <v>0</v>
      </c>
      <c r="U46" s="644">
        <v>0</v>
      </c>
      <c r="V46" s="644">
        <v>0</v>
      </c>
      <c r="W46" s="644">
        <v>0</v>
      </c>
      <c r="X46" s="644">
        <v>0</v>
      </c>
      <c r="Y46" s="644">
        <v>0</v>
      </c>
      <c r="Z46" s="644">
        <v>0</v>
      </c>
      <c r="AA46" s="644">
        <v>100</v>
      </c>
      <c r="AB46" s="53">
        <f>SUM(Sheet_1_Table_1_134[[#This Row],[Leadership LS]:[Career Development  CR]])</f>
        <v>100</v>
      </c>
      <c r="AC46" s="97" t="s">
        <v>199</v>
      </c>
      <c r="AD46" s="178" t="s">
        <v>353</v>
      </c>
      <c r="AE46" s="55" t="s">
        <v>146</v>
      </c>
      <c r="AF46" s="55" t="s">
        <v>142</v>
      </c>
      <c r="AG46" s="55" t="s">
        <v>142</v>
      </c>
      <c r="AH46" s="55">
        <v>1</v>
      </c>
      <c r="AI46" s="55">
        <v>60</v>
      </c>
      <c r="AJ46" s="62">
        <f>Sheet_1_Table_1_134[[#This Row],[ILP Units Per Session]]*Sheet_1_Table_1_134[[#This Row],[Quota]]</f>
        <v>60</v>
      </c>
      <c r="AK46" s="54" t="s">
        <v>620</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291</v>
      </c>
      <c r="BP46" s="69" t="s">
        <v>467</v>
      </c>
      <c r="BQ46" s="56" t="s">
        <v>468</v>
      </c>
      <c r="BR46" s="57" t="s">
        <v>469</v>
      </c>
      <c r="BS46" s="54"/>
      <c r="BT46" s="56"/>
      <c r="BU46" s="56"/>
      <c r="BV46" s="57"/>
      <c r="BW46" s="60"/>
      <c r="BX46" s="195"/>
      <c r="BY46" s="56"/>
      <c r="BZ46" s="56"/>
      <c r="CA46" s="56"/>
      <c r="CB46" s="72"/>
      <c r="CC46" s="72"/>
      <c r="CD46" s="72"/>
      <c r="CE46" s="60" t="s">
        <v>359</v>
      </c>
      <c r="CF46" s="72" t="s">
        <v>360</v>
      </c>
      <c r="CG46" s="56" t="s">
        <v>270</v>
      </c>
      <c r="CH46" s="57" t="s">
        <v>271</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485</v>
      </c>
      <c r="D47" s="50" t="s">
        <v>133</v>
      </c>
      <c r="E47" s="51">
        <v>5911</v>
      </c>
      <c r="F47" s="471" t="s">
        <v>134</v>
      </c>
      <c r="G47" s="472" t="s">
        <v>345</v>
      </c>
      <c r="H47" s="778" t="s">
        <v>346</v>
      </c>
      <c r="I47" s="645" t="s">
        <v>347</v>
      </c>
      <c r="J47" s="774"/>
      <c r="K47" s="775" t="s">
        <v>486</v>
      </c>
      <c r="L47" s="472"/>
      <c r="M47" s="72" t="s">
        <v>487</v>
      </c>
      <c r="N47" s="70" t="s">
        <v>488</v>
      </c>
      <c r="O47" s="291" t="s">
        <v>142</v>
      </c>
      <c r="P47" s="292" t="s">
        <v>142</v>
      </c>
      <c r="Q47" s="60" t="s">
        <v>352</v>
      </c>
      <c r="R47" s="208" t="str">
        <f>VLOOKUP(Sheet_1_Table_1_134[[#This Row],[Learning Domain]],[6]List!$A$7:$B$12,2,0)</f>
        <v>IED</v>
      </c>
      <c r="S47" s="471">
        <v>0</v>
      </c>
      <c r="T47" s="644">
        <v>0</v>
      </c>
      <c r="U47" s="644">
        <v>0</v>
      </c>
      <c r="V47" s="644">
        <v>0</v>
      </c>
      <c r="W47" s="644">
        <v>0</v>
      </c>
      <c r="X47" s="644">
        <v>0</v>
      </c>
      <c r="Y47" s="644">
        <v>0</v>
      </c>
      <c r="Z47" s="644">
        <v>0</v>
      </c>
      <c r="AA47" s="644">
        <v>100</v>
      </c>
      <c r="AB47" s="53">
        <f>SUM(Sheet_1_Table_1_134[[#This Row],[Leadership LS]:[Career Development  CR]])</f>
        <v>100</v>
      </c>
      <c r="AC47" s="97" t="s">
        <v>199</v>
      </c>
      <c r="AD47" s="178" t="s">
        <v>353</v>
      </c>
      <c r="AE47" s="55" t="s">
        <v>146</v>
      </c>
      <c r="AF47" s="55" t="s">
        <v>142</v>
      </c>
      <c r="AG47" s="55" t="s">
        <v>142</v>
      </c>
      <c r="AH47" s="55">
        <v>1</v>
      </c>
      <c r="AI47" s="55">
        <v>60</v>
      </c>
      <c r="AJ47" s="62">
        <f>Sheet_1_Table_1_134[[#This Row],[ILP Units Per Session]]*Sheet_1_Table_1_134[[#This Row],[Quota]]</f>
        <v>60</v>
      </c>
      <c r="AK47" s="54" t="s">
        <v>620</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291</v>
      </c>
      <c r="BP47" s="69" t="s">
        <v>467</v>
      </c>
      <c r="BQ47" s="56" t="s">
        <v>468</v>
      </c>
      <c r="BR47" s="57" t="s">
        <v>469</v>
      </c>
      <c r="BS47" s="54"/>
      <c r="BT47" s="56"/>
      <c r="BU47" s="56"/>
      <c r="BV47" s="57"/>
      <c r="BW47" s="60"/>
      <c r="BX47" s="195"/>
      <c r="BY47" s="56"/>
      <c r="BZ47" s="56"/>
      <c r="CA47" s="56"/>
      <c r="CB47" s="72"/>
      <c r="CC47" s="72"/>
      <c r="CD47" s="72"/>
      <c r="CE47" s="60" t="s">
        <v>359</v>
      </c>
      <c r="CF47" s="72" t="s">
        <v>360</v>
      </c>
      <c r="CG47" s="56" t="s">
        <v>270</v>
      </c>
      <c r="CH47" s="57" t="s">
        <v>271</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96">
        <v>47</v>
      </c>
      <c r="B48" s="49">
        <v>202609</v>
      </c>
      <c r="C48" s="50" t="s">
        <v>532</v>
      </c>
      <c r="D48" s="50" t="s">
        <v>133</v>
      </c>
      <c r="E48" s="51">
        <v>5912</v>
      </c>
      <c r="F48" s="471" t="s">
        <v>134</v>
      </c>
      <c r="G48" s="472" t="s">
        <v>345</v>
      </c>
      <c r="H48" s="471" t="s">
        <v>346</v>
      </c>
      <c r="I48" s="645" t="s">
        <v>347</v>
      </c>
      <c r="J48" s="774"/>
      <c r="K48" s="775" t="s">
        <v>533</v>
      </c>
      <c r="L48" s="472"/>
      <c r="M48" s="72" t="s">
        <v>534</v>
      </c>
      <c r="N48" s="70" t="s">
        <v>535</v>
      </c>
      <c r="O48" s="291" t="s">
        <v>142</v>
      </c>
      <c r="P48" s="292" t="s">
        <v>142</v>
      </c>
      <c r="Q48" s="60" t="s">
        <v>352</v>
      </c>
      <c r="R48" s="202" t="str">
        <f>VLOOKUP(Sheet_1_Table_1_134[[#This Row],[Learning Domain]],[6]List!$A$7:$B$12,2,0)</f>
        <v>IED</v>
      </c>
      <c r="S48" s="471">
        <v>0</v>
      </c>
      <c r="T48" s="644">
        <v>0</v>
      </c>
      <c r="U48" s="644">
        <v>0</v>
      </c>
      <c r="V48" s="644">
        <v>0</v>
      </c>
      <c r="W48" s="644">
        <v>0</v>
      </c>
      <c r="X48" s="644">
        <v>0</v>
      </c>
      <c r="Y48" s="644">
        <v>0</v>
      </c>
      <c r="Z48" s="644">
        <v>0</v>
      </c>
      <c r="AA48" s="644">
        <v>100</v>
      </c>
      <c r="AB48" s="53">
        <f>SUM(Sheet_1_Table_1_134[[#This Row],[Leadership LS]:[Career Development  CR]])</f>
        <v>100</v>
      </c>
      <c r="AC48" s="97" t="s">
        <v>199</v>
      </c>
      <c r="AD48" s="178" t="s">
        <v>353</v>
      </c>
      <c r="AE48" s="55" t="s">
        <v>146</v>
      </c>
      <c r="AF48" s="55" t="s">
        <v>142</v>
      </c>
      <c r="AG48" s="55" t="s">
        <v>142</v>
      </c>
      <c r="AH48" s="55">
        <v>1</v>
      </c>
      <c r="AI48" s="55">
        <v>70</v>
      </c>
      <c r="AJ48" s="62">
        <f>Sheet_1_Table_1_134[[#This Row],[ILP Units Per Session]]*Sheet_1_Table_1_134[[#This Row],[Quota]]</f>
        <v>70</v>
      </c>
      <c r="AK48" s="216" t="s">
        <v>620</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291</v>
      </c>
      <c r="BP48" s="69" t="s">
        <v>467</v>
      </c>
      <c r="BQ48" s="56" t="s">
        <v>468</v>
      </c>
      <c r="BR48" s="57" t="s">
        <v>469</v>
      </c>
      <c r="BS48" s="54"/>
      <c r="BT48" s="56"/>
      <c r="BU48" s="56"/>
      <c r="BV48" s="57"/>
      <c r="BW48" s="60"/>
      <c r="BX48" s="195"/>
      <c r="BY48" s="56"/>
      <c r="BZ48" s="56"/>
      <c r="CA48" s="56"/>
      <c r="CB48" s="72"/>
      <c r="CC48" s="72"/>
      <c r="CD48" s="72"/>
      <c r="CE48" s="60" t="s">
        <v>359</v>
      </c>
      <c r="CF48" s="72" t="s">
        <v>360</v>
      </c>
      <c r="CG48" s="56" t="s">
        <v>270</v>
      </c>
      <c r="CH48" s="57" t="s">
        <v>271</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536</v>
      </c>
      <c r="D49" s="50" t="s">
        <v>133</v>
      </c>
      <c r="E49" s="51">
        <v>5913</v>
      </c>
      <c r="F49" s="471" t="s">
        <v>134</v>
      </c>
      <c r="G49" s="472" t="s">
        <v>345</v>
      </c>
      <c r="H49" s="471" t="s">
        <v>346</v>
      </c>
      <c r="I49" s="657" t="s">
        <v>347</v>
      </c>
      <c r="J49" s="774"/>
      <c r="K49" s="775" t="s">
        <v>537</v>
      </c>
      <c r="L49" s="472"/>
      <c r="M49" s="72" t="s">
        <v>538</v>
      </c>
      <c r="N49" s="70" t="s">
        <v>539</v>
      </c>
      <c r="O49" s="291" t="s">
        <v>142</v>
      </c>
      <c r="P49" s="292" t="s">
        <v>142</v>
      </c>
      <c r="Q49" s="60" t="s">
        <v>352</v>
      </c>
      <c r="R49" s="208" t="str">
        <f>VLOOKUP(Sheet_1_Table_1_134[[#This Row],[Learning Domain]],[6]List!$A$7:$B$12,2,0)</f>
        <v>IED</v>
      </c>
      <c r="S49" s="471">
        <v>0</v>
      </c>
      <c r="T49" s="644">
        <v>0</v>
      </c>
      <c r="U49" s="644">
        <v>0</v>
      </c>
      <c r="V49" s="644">
        <v>0</v>
      </c>
      <c r="W49" s="644">
        <v>0</v>
      </c>
      <c r="X49" s="644">
        <v>0</v>
      </c>
      <c r="Y49" s="644">
        <v>0</v>
      </c>
      <c r="Z49" s="644">
        <v>0</v>
      </c>
      <c r="AA49" s="644">
        <v>100</v>
      </c>
      <c r="AB49" s="53">
        <f>SUM(Sheet_1_Table_1_134[[#This Row],[Leadership LS]:[Career Development  CR]])</f>
        <v>100</v>
      </c>
      <c r="AC49" s="97" t="s">
        <v>199</v>
      </c>
      <c r="AD49" s="178" t="s">
        <v>353</v>
      </c>
      <c r="AE49" s="55" t="s">
        <v>146</v>
      </c>
      <c r="AF49" s="55" t="s">
        <v>142</v>
      </c>
      <c r="AG49" s="55" t="s">
        <v>142</v>
      </c>
      <c r="AH49" s="55">
        <v>1</v>
      </c>
      <c r="AI49" s="55">
        <v>70</v>
      </c>
      <c r="AJ49" s="62">
        <f>Sheet_1_Table_1_134[[#This Row],[ILP Units Per Session]]*Sheet_1_Table_1_134[[#This Row],[Quota]]</f>
        <v>70</v>
      </c>
      <c r="AK49" s="216" t="s">
        <v>620</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291</v>
      </c>
      <c r="BP49" s="69" t="s">
        <v>467</v>
      </c>
      <c r="BQ49" s="56" t="s">
        <v>468</v>
      </c>
      <c r="BR49" s="57" t="s">
        <v>469</v>
      </c>
      <c r="BS49" s="54"/>
      <c r="BT49" s="56"/>
      <c r="BU49" s="56"/>
      <c r="BV49" s="70"/>
      <c r="BW49" s="60"/>
      <c r="BX49" s="195"/>
      <c r="BY49" s="56"/>
      <c r="BZ49" s="56"/>
      <c r="CA49" s="56"/>
      <c r="CB49" s="72"/>
      <c r="CC49" s="72"/>
      <c r="CD49" s="72"/>
      <c r="CE49" s="60" t="s">
        <v>359</v>
      </c>
      <c r="CF49" s="72" t="s">
        <v>360</v>
      </c>
      <c r="CG49" s="56" t="s">
        <v>270</v>
      </c>
      <c r="CH49" s="57" t="s">
        <v>271</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621</v>
      </c>
      <c r="D50" s="50" t="s">
        <v>133</v>
      </c>
      <c r="E50" s="51">
        <v>5914</v>
      </c>
      <c r="F50" s="471" t="s">
        <v>134</v>
      </c>
      <c r="G50" s="472" t="s">
        <v>345</v>
      </c>
      <c r="H50" s="471" t="s">
        <v>346</v>
      </c>
      <c r="I50" s="645" t="s">
        <v>347</v>
      </c>
      <c r="J50" s="777"/>
      <c r="K50" s="775" t="s">
        <v>622</v>
      </c>
      <c r="L50" s="53"/>
      <c r="M50" s="662" t="s">
        <v>623</v>
      </c>
      <c r="N50" s="657" t="s">
        <v>624</v>
      </c>
      <c r="O50" s="291" t="s">
        <v>142</v>
      </c>
      <c r="P50" s="292" t="s">
        <v>142</v>
      </c>
      <c r="Q50" s="60" t="s">
        <v>352</v>
      </c>
      <c r="R50" s="202" t="str">
        <f>VLOOKUP(Sheet_1_Table_1_134[[#This Row],[Learning Domain]],[6]List!$A$7:$B$12,2,0)</f>
        <v>IED</v>
      </c>
      <c r="S50" s="471">
        <v>0</v>
      </c>
      <c r="T50" s="644">
        <v>0</v>
      </c>
      <c r="U50" s="644">
        <v>0</v>
      </c>
      <c r="V50" s="644">
        <v>0</v>
      </c>
      <c r="W50" s="644">
        <v>0</v>
      </c>
      <c r="X50" s="644">
        <v>0</v>
      </c>
      <c r="Y50" s="644">
        <v>0</v>
      </c>
      <c r="Z50" s="644">
        <v>0</v>
      </c>
      <c r="AA50" s="644">
        <v>100</v>
      </c>
      <c r="AB50" s="53">
        <f>SUM(Sheet_1_Table_1_134[[#This Row],[Leadership LS]:[Career Development  CR]])</f>
        <v>100</v>
      </c>
      <c r="AC50" s="97" t="s">
        <v>199</v>
      </c>
      <c r="AD50" s="178" t="s">
        <v>353</v>
      </c>
      <c r="AE50" s="55" t="s">
        <v>146</v>
      </c>
      <c r="AF50" s="55" t="s">
        <v>142</v>
      </c>
      <c r="AG50" s="55" t="s">
        <v>142</v>
      </c>
      <c r="AH50" s="209">
        <v>1</v>
      </c>
      <c r="AI50" s="55">
        <v>50</v>
      </c>
      <c r="AJ50" s="62">
        <f>Sheet_1_Table_1_134[[#This Row],[ILP Units Per Session]]*Sheet_1_Table_1_134[[#This Row],[Quota]]</f>
        <v>50</v>
      </c>
      <c r="AK50" s="54" t="s">
        <v>620</v>
      </c>
      <c r="AL50" s="64" t="e">
        <f>WEEKDAY(Sheet_1_Table_1_134[[#This Row],[Lesson 1 
Date 
(DD-MMM-YYYY)]])</f>
        <v>#VALUE!</v>
      </c>
      <c r="AM50" s="212"/>
      <c r="AN50" s="213"/>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625</v>
      </c>
      <c r="BS50" s="54"/>
      <c r="BT50" s="56"/>
      <c r="BU50" s="56"/>
      <c r="BV50" s="57"/>
      <c r="BW50" s="60"/>
      <c r="BX50" s="195"/>
      <c r="BY50" s="56"/>
      <c r="BZ50" s="56"/>
      <c r="CA50" s="56"/>
      <c r="CB50" s="72"/>
      <c r="CC50" s="72"/>
      <c r="CD50" s="72"/>
      <c r="CE50" s="60" t="s">
        <v>359</v>
      </c>
      <c r="CF50" s="72" t="s">
        <v>360</v>
      </c>
      <c r="CG50" s="56" t="s">
        <v>270</v>
      </c>
      <c r="CH50" s="57" t="s">
        <v>271</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52">
        <v>50</v>
      </c>
      <c r="B51" s="233"/>
      <c r="C51" s="234"/>
      <c r="D51" s="234"/>
      <c r="E51" s="235"/>
      <c r="F51" s="236" t="s">
        <v>134</v>
      </c>
      <c r="G51" s="237" t="s">
        <v>345</v>
      </c>
      <c r="H51" s="236" t="s">
        <v>346</v>
      </c>
      <c r="I51" s="297"/>
      <c r="J51" s="239"/>
      <c r="K51" s="240" t="s">
        <v>626</v>
      </c>
      <c r="L51" s="235"/>
      <c r="M51" s="241" t="s">
        <v>627</v>
      </c>
      <c r="N51" s="297" t="s">
        <v>628</v>
      </c>
      <c r="O51" s="242" t="s">
        <v>142</v>
      </c>
      <c r="P51" s="243" t="s">
        <v>146</v>
      </c>
      <c r="Q51" s="240" t="s">
        <v>352</v>
      </c>
      <c r="R51" s="298" t="str">
        <f>VLOOKUP(Sheet_1_Table_1_134[[#This Row],[Learning Domain]],[6]List!$A$7:$B$12,2,0)</f>
        <v>IED</v>
      </c>
      <c r="S51" s="244">
        <v>30</v>
      </c>
      <c r="T51" s="245">
        <v>0</v>
      </c>
      <c r="U51" s="245">
        <v>0</v>
      </c>
      <c r="V51" s="245">
        <v>0</v>
      </c>
      <c r="W51" s="245">
        <v>0</v>
      </c>
      <c r="X51" s="245">
        <v>0</v>
      </c>
      <c r="Y51" s="245">
        <v>0</v>
      </c>
      <c r="Z51" s="245">
        <v>0</v>
      </c>
      <c r="AA51" s="245">
        <v>70</v>
      </c>
      <c r="AB51" s="235">
        <f>SUM(Sheet_1_Table_1_134[[#This Row],[Leadership LS]:[Career Development  CR]])</f>
        <v>100</v>
      </c>
      <c r="AC51" s="246" t="s">
        <v>199</v>
      </c>
      <c r="AD51" s="245" t="s">
        <v>190</v>
      </c>
      <c r="AE51" s="245" t="s">
        <v>142</v>
      </c>
      <c r="AF51" s="245" t="s">
        <v>146</v>
      </c>
      <c r="AG51" s="245" t="s">
        <v>142</v>
      </c>
      <c r="AH51" s="245">
        <v>1</v>
      </c>
      <c r="AI51" s="245">
        <v>50</v>
      </c>
      <c r="AJ51" s="247">
        <f>Sheet_1_Table_1_134[[#This Row],[ILP Units Per Session]]*Sheet_1_Table_1_134[[#This Row],[Quota]]</f>
        <v>50</v>
      </c>
      <c r="AK51" s="248" t="s">
        <v>629</v>
      </c>
      <c r="AL51" s="249" t="e">
        <f>WEEKDAY(Sheet_1_Table_1_134[[#This Row],[Lesson 1 
Date 
(DD-MMM-YYYY)]])</f>
        <v>#VALUE!</v>
      </c>
      <c r="AM51" s="250">
        <v>0.66666666666666663</v>
      </c>
      <c r="AN51" s="251">
        <v>0.70833333333333337</v>
      </c>
      <c r="AO51" s="252" t="s">
        <v>630</v>
      </c>
      <c r="AP51" s="253"/>
      <c r="AQ51" s="249">
        <f>WEEKDAY(Sheet_1_Table_1_134[[#This Row],[Lesson 2
Date 
(DD-MMM-YYYY)]])</f>
        <v>7</v>
      </c>
      <c r="AR51" s="250"/>
      <c r="AS51" s="251"/>
      <c r="AT51" s="254"/>
      <c r="AU51" s="248"/>
      <c r="AV51" s="249">
        <f>WEEKDAY(Sheet_1_Table_1_134[[#This Row],[Lesson 3
Date 
(DD-MMM-YYYY)]])</f>
        <v>7</v>
      </c>
      <c r="AW51" s="250"/>
      <c r="AX51" s="251"/>
      <c r="AY51" s="254"/>
      <c r="AZ51" s="255"/>
      <c r="BA51" s="249">
        <f>WEEKDAY(Sheet_1_Table_1_134[[#This Row],[Lesson 4
Date 
(DD-MMM-YYYY)]])</f>
        <v>7</v>
      </c>
      <c r="BB51" s="250"/>
      <c r="BC51" s="251"/>
      <c r="BD51" s="254"/>
      <c r="BE51" s="248"/>
      <c r="BF51" s="249">
        <f>WEEKDAY(Sheet_1_Table_1_134[[#This Row],[Lesson 5
Date 
(DD-MMM-YYYY)]])</f>
        <v>7</v>
      </c>
      <c r="BG51" s="250"/>
      <c r="BH51" s="251"/>
      <c r="BI51" s="254"/>
      <c r="BJ51" s="255"/>
      <c r="BK51" s="249">
        <f>WEEKDAY(Sheet_1_Table_1_134[[#This Row],[Lesson 6
Date 
(DD-MMM-YYYY)]])</f>
        <v>7</v>
      </c>
      <c r="BL51" s="250"/>
      <c r="BM51" s="251"/>
      <c r="BN51" s="256"/>
      <c r="BO51" s="257"/>
      <c r="BP51" s="299" t="s">
        <v>617</v>
      </c>
      <c r="BQ51" s="258"/>
      <c r="BR51" s="238"/>
      <c r="BS51" s="257"/>
      <c r="BT51" s="258"/>
      <c r="BU51" s="258"/>
      <c r="BV51" s="238"/>
      <c r="BW51" s="240"/>
      <c r="BX51" s="259"/>
      <c r="BY51" s="258"/>
      <c r="BZ51" s="258"/>
      <c r="CA51" s="258"/>
      <c r="CB51" s="241"/>
      <c r="CC51" s="241"/>
      <c r="CD51" s="241"/>
      <c r="CE51" s="240" t="s">
        <v>359</v>
      </c>
      <c r="CF51" s="241" t="s">
        <v>360</v>
      </c>
      <c r="CG51" s="258" t="s">
        <v>369</v>
      </c>
      <c r="CH51" s="238" t="s">
        <v>370</v>
      </c>
      <c r="CI51" s="244" t="s">
        <v>142</v>
      </c>
      <c r="CJ51" s="244" t="s">
        <v>142</v>
      </c>
      <c r="CK51" s="244" t="s">
        <v>142</v>
      </c>
      <c r="CL51" s="244" t="s">
        <v>142</v>
      </c>
      <c r="CM51" s="244" t="s">
        <v>142</v>
      </c>
      <c r="CN51" s="244" t="s">
        <v>142</v>
      </c>
      <c r="CO51" s="244" t="s">
        <v>142</v>
      </c>
      <c r="CP51" s="244" t="s">
        <v>142</v>
      </c>
      <c r="CQ51" s="244" t="s">
        <v>146</v>
      </c>
      <c r="CR51" s="244" t="s">
        <v>142</v>
      </c>
      <c r="CS51" s="244" t="s">
        <v>142</v>
      </c>
      <c r="CT51" s="244" t="s">
        <v>142</v>
      </c>
      <c r="CU51" s="244" t="s">
        <v>142</v>
      </c>
      <c r="CV51" s="244" t="s">
        <v>142</v>
      </c>
      <c r="CW51" s="244" t="s">
        <v>142</v>
      </c>
      <c r="CX51" s="244" t="s">
        <v>142</v>
      </c>
      <c r="CY51" s="244" t="s">
        <v>142</v>
      </c>
      <c r="CZ51" s="260" t="s">
        <v>142</v>
      </c>
      <c r="DA51" s="257" t="s">
        <v>154</v>
      </c>
      <c r="DB51" s="234" t="s">
        <v>155</v>
      </c>
      <c r="DC51" s="234" t="s">
        <v>156</v>
      </c>
      <c r="DD51" s="234" t="s">
        <v>146</v>
      </c>
      <c r="DE51" s="234" t="s">
        <v>157</v>
      </c>
      <c r="DF51" s="234" t="s">
        <v>146</v>
      </c>
      <c r="DG51" s="261"/>
      <c r="DH51" s="261"/>
      <c r="DI51" s="262"/>
      <c r="DJ51" s="261"/>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9">
        <v>202609</v>
      </c>
      <c r="C52" s="587" t="s">
        <v>631</v>
      </c>
      <c r="D52" s="587" t="s">
        <v>133</v>
      </c>
      <c r="E52" s="591">
        <v>5923</v>
      </c>
      <c r="F52" s="586" t="s">
        <v>134</v>
      </c>
      <c r="G52" s="605" t="s">
        <v>632</v>
      </c>
      <c r="H52" s="614" t="s">
        <v>633</v>
      </c>
      <c r="I52" s="633" t="s">
        <v>634</v>
      </c>
      <c r="J52" s="634" t="s">
        <v>635</v>
      </c>
      <c r="K52" s="634" t="s">
        <v>636</v>
      </c>
      <c r="L52" s="605"/>
      <c r="M52" s="570" t="s">
        <v>637</v>
      </c>
      <c r="N52" s="308" t="s">
        <v>638</v>
      </c>
      <c r="O52" s="635" t="s">
        <v>142</v>
      </c>
      <c r="P52" s="585" t="s">
        <v>142</v>
      </c>
      <c r="Q52" s="568" t="s">
        <v>352</v>
      </c>
      <c r="R52" s="636" t="s">
        <v>580</v>
      </c>
      <c r="S52" s="572">
        <v>100</v>
      </c>
      <c r="T52" s="572">
        <v>0</v>
      </c>
      <c r="U52" s="572">
        <v>0</v>
      </c>
      <c r="V52" s="572">
        <v>0</v>
      </c>
      <c r="W52" s="572">
        <v>0</v>
      </c>
      <c r="X52" s="572">
        <v>0</v>
      </c>
      <c r="Y52" s="572">
        <v>0</v>
      </c>
      <c r="Z52" s="572">
        <v>0</v>
      </c>
      <c r="AA52" s="572">
        <v>0</v>
      </c>
      <c r="AB52" s="619">
        <v>100</v>
      </c>
      <c r="AC52" s="305" t="s">
        <v>144</v>
      </c>
      <c r="AD52" s="572" t="s">
        <v>353</v>
      </c>
      <c r="AE52" s="572" t="s">
        <v>142</v>
      </c>
      <c r="AF52" s="572" t="s">
        <v>146</v>
      </c>
      <c r="AG52" s="572" t="s">
        <v>142</v>
      </c>
      <c r="AH52" s="572">
        <v>1.5</v>
      </c>
      <c r="AI52" s="572">
        <v>200</v>
      </c>
      <c r="AJ52" s="620">
        <v>300</v>
      </c>
      <c r="AK52" s="184">
        <v>46283</v>
      </c>
      <c r="AL52" s="64">
        <f>WEEKDAY(Sheet_1_Table_1_134[[#This Row],[Lesson 1 
Date 
(DD-MMM-YYYY)]])</f>
        <v>6</v>
      </c>
      <c r="AM52" s="772">
        <v>0.64583333333333337</v>
      </c>
      <c r="AN52" s="621">
        <v>0.70833333333333337</v>
      </c>
      <c r="AO52" s="637" t="s">
        <v>639</v>
      </c>
      <c r="AP52" s="595"/>
      <c r="AQ52" s="596">
        <v>7</v>
      </c>
      <c r="AR52" s="575"/>
      <c r="AS52" s="593"/>
      <c r="AT52" s="594"/>
      <c r="AU52" s="592"/>
      <c r="AV52" s="596">
        <v>7</v>
      </c>
      <c r="AW52" s="575"/>
      <c r="AX52" s="593"/>
      <c r="AY52" s="594"/>
      <c r="AZ52" s="597"/>
      <c r="BA52" s="596">
        <v>7</v>
      </c>
      <c r="BB52" s="575"/>
      <c r="BC52" s="593"/>
      <c r="BD52" s="594"/>
      <c r="BE52" s="592"/>
      <c r="BF52" s="596">
        <v>7</v>
      </c>
      <c r="BG52" s="575"/>
      <c r="BH52" s="593"/>
      <c r="BI52" s="594"/>
      <c r="BJ52" s="597"/>
      <c r="BK52" s="596">
        <v>7</v>
      </c>
      <c r="BL52" s="575"/>
      <c r="BM52" s="593"/>
      <c r="BN52" s="598"/>
      <c r="BO52" s="586"/>
      <c r="BP52" s="569"/>
      <c r="BQ52" s="570"/>
      <c r="BR52" s="308" t="s">
        <v>640</v>
      </c>
      <c r="BS52" s="586"/>
      <c r="BT52" s="570"/>
      <c r="BU52" s="570"/>
      <c r="BV52" s="308"/>
      <c r="BW52" s="568"/>
      <c r="BX52" s="625"/>
      <c r="BY52" s="570" t="s">
        <v>149</v>
      </c>
      <c r="BZ52" s="570"/>
      <c r="CA52" s="570" t="s">
        <v>149</v>
      </c>
      <c r="CB52" s="582" t="s">
        <v>641</v>
      </c>
      <c r="CC52" s="600" t="s">
        <v>642</v>
      </c>
      <c r="CD52" s="600">
        <v>27150115</v>
      </c>
      <c r="CE52" s="568" t="s">
        <v>643</v>
      </c>
      <c r="CF52" s="582" t="s">
        <v>644</v>
      </c>
      <c r="CG52" s="570" t="s">
        <v>645</v>
      </c>
      <c r="CH52" s="626" t="s">
        <v>646</v>
      </c>
      <c r="CI52" s="572" t="s">
        <v>142</v>
      </c>
      <c r="CJ52" s="572" t="s">
        <v>142</v>
      </c>
      <c r="CK52" s="572" t="s">
        <v>142</v>
      </c>
      <c r="CL52" s="572" t="s">
        <v>146</v>
      </c>
      <c r="CM52" s="572" t="s">
        <v>146</v>
      </c>
      <c r="CN52" s="572" t="s">
        <v>142</v>
      </c>
      <c r="CO52" s="572" t="s">
        <v>142</v>
      </c>
      <c r="CP52" s="572" t="s">
        <v>142</v>
      </c>
      <c r="CQ52" s="572" t="s">
        <v>142</v>
      </c>
      <c r="CR52" s="572" t="s">
        <v>142</v>
      </c>
      <c r="CS52" s="572" t="s">
        <v>146</v>
      </c>
      <c r="CT52" s="572" t="s">
        <v>142</v>
      </c>
      <c r="CU52" s="572" t="s">
        <v>142</v>
      </c>
      <c r="CV52" s="572" t="s">
        <v>142</v>
      </c>
      <c r="CW52" s="572" t="s">
        <v>142</v>
      </c>
      <c r="CX52" s="572" t="s">
        <v>142</v>
      </c>
      <c r="CY52" s="572" t="s">
        <v>142</v>
      </c>
      <c r="CZ52" s="585" t="s">
        <v>142</v>
      </c>
      <c r="DA52" s="586" t="s">
        <v>154</v>
      </c>
      <c r="DB52" s="587" t="s">
        <v>155</v>
      </c>
      <c r="DC52" s="587" t="s">
        <v>156</v>
      </c>
      <c r="DD52" s="587" t="s">
        <v>146</v>
      </c>
      <c r="DE52" s="587" t="s">
        <v>157</v>
      </c>
      <c r="DF52" s="587" t="s">
        <v>146</v>
      </c>
      <c r="DG52" s="588" t="s">
        <v>142</v>
      </c>
      <c r="DH52" s="588" t="s">
        <v>142</v>
      </c>
      <c r="DI52" s="588" t="s">
        <v>142</v>
      </c>
      <c r="DJ52" s="588" t="s">
        <v>142</v>
      </c>
      <c r="DK52" s="627" t="s">
        <v>146</v>
      </c>
      <c r="DL52" s="627" t="s">
        <v>146</v>
      </c>
      <c r="DM52" s="627" t="s">
        <v>146</v>
      </c>
    </row>
    <row r="53" spans="1:156" ht="195">
      <c r="A53" s="8">
        <v>51</v>
      </c>
      <c r="B53" s="589">
        <v>202609</v>
      </c>
      <c r="C53" s="587" t="s">
        <v>647</v>
      </c>
      <c r="D53" s="587" t="s">
        <v>133</v>
      </c>
      <c r="E53" s="591">
        <v>5925</v>
      </c>
      <c r="F53" s="586" t="s">
        <v>134</v>
      </c>
      <c r="G53" s="605" t="s">
        <v>632</v>
      </c>
      <c r="H53" s="614" t="s">
        <v>648</v>
      </c>
      <c r="I53" s="633" t="s">
        <v>649</v>
      </c>
      <c r="J53" s="634" t="s">
        <v>650</v>
      </c>
      <c r="K53" s="634" t="s">
        <v>651</v>
      </c>
      <c r="L53" s="605"/>
      <c r="M53" s="570" t="s">
        <v>652</v>
      </c>
      <c r="N53" s="308" t="s">
        <v>653</v>
      </c>
      <c r="O53" s="635" t="s">
        <v>142</v>
      </c>
      <c r="P53" s="585" t="s">
        <v>142</v>
      </c>
      <c r="Q53" s="568" t="s">
        <v>352</v>
      </c>
      <c r="R53" s="636" t="s">
        <v>580</v>
      </c>
      <c r="S53" s="572">
        <v>80</v>
      </c>
      <c r="T53" s="572">
        <v>0</v>
      </c>
      <c r="U53" s="572">
        <v>0</v>
      </c>
      <c r="V53" s="572">
        <v>0</v>
      </c>
      <c r="W53" s="572">
        <v>20</v>
      </c>
      <c r="X53" s="572">
        <v>0</v>
      </c>
      <c r="Y53" s="572">
        <v>0</v>
      </c>
      <c r="Z53" s="572">
        <v>0</v>
      </c>
      <c r="AA53" s="572">
        <v>0</v>
      </c>
      <c r="AB53" s="619">
        <v>100</v>
      </c>
      <c r="AC53" s="305" t="s">
        <v>654</v>
      </c>
      <c r="AD53" s="572" t="s">
        <v>190</v>
      </c>
      <c r="AE53" s="572" t="s">
        <v>142</v>
      </c>
      <c r="AF53" s="572" t="s">
        <v>146</v>
      </c>
      <c r="AG53" s="572" t="s">
        <v>142</v>
      </c>
      <c r="AH53" s="572">
        <v>12</v>
      </c>
      <c r="AI53" s="572">
        <v>19</v>
      </c>
      <c r="AJ53" s="620">
        <v>228</v>
      </c>
      <c r="AK53" s="319">
        <v>46297</v>
      </c>
      <c r="AL53" s="185">
        <f>WEEKDAY(Sheet_1_Table_1_134[[#This Row],[Lesson 1 
Date 
(DD-MMM-YYYY)]])</f>
        <v>6</v>
      </c>
      <c r="AM53" s="795">
        <v>0.625</v>
      </c>
      <c r="AN53" s="796">
        <v>0.70833333333333337</v>
      </c>
      <c r="AO53" s="797" t="s">
        <v>655</v>
      </c>
      <c r="AP53" s="189">
        <v>46304</v>
      </c>
      <c r="AQ53" s="64">
        <f>WEEKDAY(Sheet_1_Table_1_134[[#This Row],[Lesson 2
Date 
(DD-MMM-YYYY)]])</f>
        <v>6</v>
      </c>
      <c r="AR53" s="795">
        <v>0.625</v>
      </c>
      <c r="AS53" s="796">
        <v>0.70833333333333337</v>
      </c>
      <c r="AT53" s="187" t="s">
        <v>655</v>
      </c>
      <c r="AU53" s="319">
        <v>46311</v>
      </c>
      <c r="AV53" s="798">
        <f>WEEKDAY(Sheet_1_Table_1_134[[#This Row],[Lesson 3
Date 
(DD-MMM-YYYY)]])</f>
        <v>6</v>
      </c>
      <c r="AW53" s="795">
        <v>0.625</v>
      </c>
      <c r="AX53" s="796">
        <v>0.70833333333333337</v>
      </c>
      <c r="AY53" s="214" t="s">
        <v>655</v>
      </c>
      <c r="AZ53" s="189">
        <v>46318</v>
      </c>
      <c r="BA53" s="185">
        <f>WEEKDAY(Sheet_1_Table_1_134[[#This Row],[Lesson 4
Date 
(DD-MMM-YYYY)]])</f>
        <v>6</v>
      </c>
      <c r="BB53" s="795">
        <v>0.625</v>
      </c>
      <c r="BC53" s="796">
        <v>0.70833333333333337</v>
      </c>
      <c r="BD53" s="799" t="s">
        <v>655</v>
      </c>
      <c r="BE53" s="184">
        <v>46325</v>
      </c>
      <c r="BF53" s="798">
        <f>WEEKDAY(Sheet_1_Table_1_134[[#This Row],[Lesson 5
Date 
(DD-MMM-YYYY)]])</f>
        <v>6</v>
      </c>
      <c r="BG53" s="795">
        <v>0.625</v>
      </c>
      <c r="BH53" s="796">
        <v>0.70833333333333337</v>
      </c>
      <c r="BI53" s="799" t="s">
        <v>655</v>
      </c>
      <c r="BJ53" s="800">
        <v>46332</v>
      </c>
      <c r="BK53" s="185">
        <f>WEEKDAY(Sheet_1_Table_1_134[[#This Row],[Lesson 6
Date 
(DD-MMM-YYYY)]])</f>
        <v>6</v>
      </c>
      <c r="BL53" s="795">
        <v>0.625</v>
      </c>
      <c r="BM53" s="796">
        <v>0.70833333333333337</v>
      </c>
      <c r="BN53" s="801" t="s">
        <v>655</v>
      </c>
      <c r="BO53" s="586"/>
      <c r="BP53" s="569"/>
      <c r="BQ53" s="570"/>
      <c r="BR53" s="308" t="s">
        <v>656</v>
      </c>
      <c r="BS53" s="586"/>
      <c r="BT53" s="570"/>
      <c r="BU53" s="570"/>
      <c r="BV53" s="308"/>
      <c r="BW53" s="568"/>
      <c r="BX53" s="625"/>
      <c r="BY53" s="570"/>
      <c r="BZ53" s="570"/>
      <c r="CA53" s="570"/>
      <c r="CB53" s="600"/>
      <c r="CC53" s="600"/>
      <c r="CD53" s="600"/>
      <c r="CE53" s="568" t="s">
        <v>657</v>
      </c>
      <c r="CF53" s="582" t="s">
        <v>658</v>
      </c>
      <c r="CG53" s="570" t="s">
        <v>643</v>
      </c>
      <c r="CH53" s="626" t="s">
        <v>644</v>
      </c>
      <c r="CI53" s="572" t="s">
        <v>142</v>
      </c>
      <c r="CJ53" s="572" t="s">
        <v>142</v>
      </c>
      <c r="CK53" s="572" t="s">
        <v>142</v>
      </c>
      <c r="CL53" s="572" t="s">
        <v>142</v>
      </c>
      <c r="CM53" s="572" t="s">
        <v>146</v>
      </c>
      <c r="CN53" s="572" t="s">
        <v>142</v>
      </c>
      <c r="CO53" s="572" t="s">
        <v>142</v>
      </c>
      <c r="CP53" s="572" t="s">
        <v>142</v>
      </c>
      <c r="CQ53" s="572" t="s">
        <v>142</v>
      </c>
      <c r="CR53" s="572" t="s">
        <v>142</v>
      </c>
      <c r="CS53" s="572" t="s">
        <v>146</v>
      </c>
      <c r="CT53" s="572" t="s">
        <v>142</v>
      </c>
      <c r="CU53" s="572" t="s">
        <v>142</v>
      </c>
      <c r="CV53" s="572" t="s">
        <v>142</v>
      </c>
      <c r="CW53" s="572" t="s">
        <v>142</v>
      </c>
      <c r="CX53" s="572" t="s">
        <v>142</v>
      </c>
      <c r="CY53" s="572" t="s">
        <v>142</v>
      </c>
      <c r="CZ53" s="585" t="s">
        <v>142</v>
      </c>
      <c r="DA53" s="586" t="s">
        <v>154</v>
      </c>
      <c r="DB53" s="587" t="s">
        <v>155</v>
      </c>
      <c r="DC53" s="587" t="s">
        <v>156</v>
      </c>
      <c r="DD53" s="587" t="s">
        <v>146</v>
      </c>
      <c r="DE53" s="587" t="s">
        <v>157</v>
      </c>
      <c r="DF53" s="587" t="s">
        <v>146</v>
      </c>
      <c r="DG53" s="588" t="s">
        <v>142</v>
      </c>
      <c r="DH53" s="588" t="s">
        <v>146</v>
      </c>
      <c r="DI53" s="588" t="s">
        <v>142</v>
      </c>
      <c r="DJ53" s="588" t="s">
        <v>142</v>
      </c>
      <c r="DK53" s="627"/>
      <c r="DL53" s="627"/>
      <c r="DM53" s="627"/>
    </row>
    <row r="54" spans="1:156" ht="210">
      <c r="A54" s="8">
        <v>52</v>
      </c>
      <c r="B54" s="589">
        <v>202609</v>
      </c>
      <c r="C54" s="587" t="s">
        <v>659</v>
      </c>
      <c r="D54" s="587" t="s">
        <v>133</v>
      </c>
      <c r="E54" s="591">
        <v>5927</v>
      </c>
      <c r="F54" s="586" t="s">
        <v>134</v>
      </c>
      <c r="G54" s="605" t="s">
        <v>632</v>
      </c>
      <c r="H54" s="614" t="s">
        <v>660</v>
      </c>
      <c r="I54" s="633" t="s">
        <v>661</v>
      </c>
      <c r="J54" s="634" t="s">
        <v>662</v>
      </c>
      <c r="K54" s="634" t="s">
        <v>663</v>
      </c>
      <c r="L54" s="605"/>
      <c r="M54" s="570" t="s">
        <v>664</v>
      </c>
      <c r="N54" s="308" t="s">
        <v>665</v>
      </c>
      <c r="O54" s="635" t="s">
        <v>142</v>
      </c>
      <c r="P54" s="585" t="s">
        <v>142</v>
      </c>
      <c r="Q54" s="568" t="s">
        <v>352</v>
      </c>
      <c r="R54" s="636" t="s">
        <v>580</v>
      </c>
      <c r="S54" s="572"/>
      <c r="T54" s="572"/>
      <c r="U54" s="572"/>
      <c r="V54" s="572"/>
      <c r="W54" s="572">
        <v>80</v>
      </c>
      <c r="X54" s="572"/>
      <c r="Y54" s="572"/>
      <c r="Z54" s="572"/>
      <c r="AA54" s="572">
        <v>20</v>
      </c>
      <c r="AB54" s="619">
        <v>100</v>
      </c>
      <c r="AC54" s="305" t="s">
        <v>199</v>
      </c>
      <c r="AD54" s="572" t="s">
        <v>353</v>
      </c>
      <c r="AE54" s="572" t="s">
        <v>146</v>
      </c>
      <c r="AF54" s="572" t="s">
        <v>142</v>
      </c>
      <c r="AG54" s="572" t="s">
        <v>142</v>
      </c>
      <c r="AH54" s="572">
        <v>2</v>
      </c>
      <c r="AI54" s="572">
        <v>240</v>
      </c>
      <c r="AJ54" s="620">
        <v>480</v>
      </c>
      <c r="AK54" s="771">
        <v>46300</v>
      </c>
      <c r="AL54" s="64">
        <f>WEEKDAY(Sheet_1_Table_1_134[[#This Row],[Lesson 1 
Date 
(DD-MMM-YYYY)]])</f>
        <v>2</v>
      </c>
      <c r="AM54" s="772">
        <v>0.58333333333333337</v>
      </c>
      <c r="AN54" s="621">
        <v>0.66666666666666663</v>
      </c>
      <c r="AO54" s="637" t="s">
        <v>639</v>
      </c>
      <c r="AP54" s="595"/>
      <c r="AQ54" s="596">
        <v>7</v>
      </c>
      <c r="AR54" s="575"/>
      <c r="AS54" s="593"/>
      <c r="AT54" s="594"/>
      <c r="AU54" s="592"/>
      <c r="AV54" s="596">
        <v>7</v>
      </c>
      <c r="AW54" s="575"/>
      <c r="AX54" s="593"/>
      <c r="AY54" s="594"/>
      <c r="AZ54" s="597"/>
      <c r="BA54" s="596">
        <v>7</v>
      </c>
      <c r="BB54" s="575"/>
      <c r="BC54" s="593"/>
      <c r="BD54" s="594"/>
      <c r="BE54" s="592"/>
      <c r="BF54" s="596">
        <v>7</v>
      </c>
      <c r="BG54" s="575"/>
      <c r="BH54" s="593"/>
      <c r="BI54" s="594"/>
      <c r="BJ54" s="597"/>
      <c r="BK54" s="596">
        <v>7</v>
      </c>
      <c r="BL54" s="575"/>
      <c r="BM54" s="593"/>
      <c r="BN54" s="598"/>
      <c r="BO54" s="586" t="s">
        <v>163</v>
      </c>
      <c r="BP54" s="569" t="s">
        <v>666</v>
      </c>
      <c r="BQ54" s="570" t="s">
        <v>406</v>
      </c>
      <c r="BR54" s="308"/>
      <c r="BS54" s="586"/>
      <c r="BT54" s="570"/>
      <c r="BU54" s="570"/>
      <c r="BV54" s="308"/>
      <c r="BW54" s="568"/>
      <c r="BX54" s="625"/>
      <c r="BY54" s="570"/>
      <c r="BZ54" s="570"/>
      <c r="CA54" s="570"/>
      <c r="CB54" s="582" t="s">
        <v>667</v>
      </c>
      <c r="CC54" s="600" t="s">
        <v>668</v>
      </c>
      <c r="CD54" s="600">
        <v>20261005</v>
      </c>
      <c r="CE54" s="568" t="s">
        <v>657</v>
      </c>
      <c r="CF54" s="582" t="s">
        <v>658</v>
      </c>
      <c r="CG54" s="570" t="s">
        <v>643</v>
      </c>
      <c r="CH54" s="626" t="s">
        <v>644</v>
      </c>
      <c r="CI54" s="572" t="s">
        <v>142</v>
      </c>
      <c r="CJ54" s="572" t="s">
        <v>142</v>
      </c>
      <c r="CK54" s="572" t="s">
        <v>142</v>
      </c>
      <c r="CL54" s="572" t="s">
        <v>142</v>
      </c>
      <c r="CM54" s="572" t="s">
        <v>146</v>
      </c>
      <c r="CN54" s="572" t="s">
        <v>142</v>
      </c>
      <c r="CO54" s="572" t="s">
        <v>142</v>
      </c>
      <c r="CP54" s="572" t="s">
        <v>142</v>
      </c>
      <c r="CQ54" s="572" t="s">
        <v>142</v>
      </c>
      <c r="CR54" s="572" t="s">
        <v>142</v>
      </c>
      <c r="CS54" s="572" t="s">
        <v>142</v>
      </c>
      <c r="CT54" s="572" t="s">
        <v>142</v>
      </c>
      <c r="CU54" s="572" t="s">
        <v>142</v>
      </c>
      <c r="CV54" s="572" t="s">
        <v>142</v>
      </c>
      <c r="CW54" s="572" t="s">
        <v>142</v>
      </c>
      <c r="CX54" s="572" t="s">
        <v>142</v>
      </c>
      <c r="CY54" s="572" t="s">
        <v>142</v>
      </c>
      <c r="CZ54" s="585" t="s">
        <v>142</v>
      </c>
      <c r="DA54" s="586" t="s">
        <v>154</v>
      </c>
      <c r="DB54" s="587" t="s">
        <v>155</v>
      </c>
      <c r="DC54" s="587" t="s">
        <v>156</v>
      </c>
      <c r="DD54" s="587" t="s">
        <v>146</v>
      </c>
      <c r="DE54" s="587" t="s">
        <v>157</v>
      </c>
      <c r="DF54" s="587" t="s">
        <v>146</v>
      </c>
      <c r="DG54" s="588" t="s">
        <v>142</v>
      </c>
      <c r="DH54" s="588" t="s">
        <v>142</v>
      </c>
      <c r="DI54" s="588" t="s">
        <v>146</v>
      </c>
      <c r="DJ54" s="588" t="s">
        <v>142</v>
      </c>
      <c r="DK54" s="627"/>
      <c r="DL54" s="627"/>
      <c r="DM54" s="627"/>
    </row>
    <row r="55" spans="1:156" ht="105">
      <c r="A55" s="8">
        <v>53</v>
      </c>
      <c r="B55" s="589">
        <v>202609</v>
      </c>
      <c r="C55" s="587" t="s">
        <v>669</v>
      </c>
      <c r="D55" s="587" t="s">
        <v>133</v>
      </c>
      <c r="E55" s="591">
        <v>5930</v>
      </c>
      <c r="F55" s="586" t="s">
        <v>134</v>
      </c>
      <c r="G55" s="605" t="s">
        <v>632</v>
      </c>
      <c r="H55" s="614" t="s">
        <v>660</v>
      </c>
      <c r="I55" s="633" t="s">
        <v>661</v>
      </c>
      <c r="J55" s="634" t="s">
        <v>670</v>
      </c>
      <c r="K55" s="634" t="s">
        <v>671</v>
      </c>
      <c r="L55" s="605"/>
      <c r="M55" s="570" t="s">
        <v>672</v>
      </c>
      <c r="N55" s="308" t="s">
        <v>673</v>
      </c>
      <c r="O55" s="635" t="s">
        <v>142</v>
      </c>
      <c r="P55" s="585" t="s">
        <v>142</v>
      </c>
      <c r="Q55" s="568" t="s">
        <v>352</v>
      </c>
      <c r="R55" s="636" t="s">
        <v>580</v>
      </c>
      <c r="S55" s="572"/>
      <c r="T55" s="572"/>
      <c r="U55" s="572"/>
      <c r="V55" s="572"/>
      <c r="W55" s="572">
        <v>80</v>
      </c>
      <c r="X55" s="572"/>
      <c r="Y55" s="572"/>
      <c r="Z55" s="572"/>
      <c r="AA55" s="572">
        <v>20</v>
      </c>
      <c r="AB55" s="619">
        <v>100</v>
      </c>
      <c r="AC55" s="305" t="s">
        <v>199</v>
      </c>
      <c r="AD55" s="572" t="s">
        <v>353</v>
      </c>
      <c r="AE55" s="572" t="s">
        <v>146</v>
      </c>
      <c r="AF55" s="572" t="s">
        <v>142</v>
      </c>
      <c r="AG55" s="572" t="s">
        <v>142</v>
      </c>
      <c r="AH55" s="572">
        <v>2</v>
      </c>
      <c r="AI55" s="572">
        <v>240</v>
      </c>
      <c r="AJ55" s="620">
        <v>480</v>
      </c>
      <c r="AK55" s="771">
        <v>46307</v>
      </c>
      <c r="AL55" s="64">
        <f>WEEKDAY(Sheet_1_Table_1_134[[#This Row],[Lesson 1 
Date 
(DD-MMM-YYYY)]])</f>
        <v>2</v>
      </c>
      <c r="AM55" s="772">
        <v>0.58333333333333337</v>
      </c>
      <c r="AN55" s="621">
        <v>0.66666666666666663</v>
      </c>
      <c r="AO55" s="637" t="s">
        <v>639</v>
      </c>
      <c r="AP55" s="595"/>
      <c r="AQ55" s="596">
        <v>7</v>
      </c>
      <c r="AR55" s="575"/>
      <c r="AS55" s="593"/>
      <c r="AT55" s="594"/>
      <c r="AU55" s="592"/>
      <c r="AV55" s="596">
        <v>7</v>
      </c>
      <c r="AW55" s="575"/>
      <c r="AX55" s="593"/>
      <c r="AY55" s="594"/>
      <c r="AZ55" s="597"/>
      <c r="BA55" s="596">
        <v>7</v>
      </c>
      <c r="BB55" s="575"/>
      <c r="BC55" s="593"/>
      <c r="BD55" s="594"/>
      <c r="BE55" s="592"/>
      <c r="BF55" s="596">
        <v>7</v>
      </c>
      <c r="BG55" s="575"/>
      <c r="BH55" s="593"/>
      <c r="BI55" s="594"/>
      <c r="BJ55" s="597"/>
      <c r="BK55" s="596">
        <v>7</v>
      </c>
      <c r="BL55" s="575"/>
      <c r="BM55" s="593"/>
      <c r="BN55" s="598"/>
      <c r="BO55" s="586" t="s">
        <v>163</v>
      </c>
      <c r="BP55" s="569" t="s">
        <v>666</v>
      </c>
      <c r="BQ55" s="570" t="s">
        <v>406</v>
      </c>
      <c r="BR55" s="308"/>
      <c r="BS55" s="586"/>
      <c r="BT55" s="570"/>
      <c r="BU55" s="570"/>
      <c r="BV55" s="308"/>
      <c r="BW55" s="568"/>
      <c r="BX55" s="625"/>
      <c r="BY55" s="570"/>
      <c r="BZ55" s="570"/>
      <c r="CA55" s="570"/>
      <c r="CB55" s="582" t="s">
        <v>674</v>
      </c>
      <c r="CC55" s="600" t="s">
        <v>675</v>
      </c>
      <c r="CD55" s="600">
        <v>20261012</v>
      </c>
      <c r="CE55" s="568" t="s">
        <v>657</v>
      </c>
      <c r="CF55" s="582" t="s">
        <v>658</v>
      </c>
      <c r="CG55" s="570" t="s">
        <v>643</v>
      </c>
      <c r="CH55" s="626" t="s">
        <v>644</v>
      </c>
      <c r="CI55" s="572" t="s">
        <v>142</v>
      </c>
      <c r="CJ55" s="572" t="s">
        <v>142</v>
      </c>
      <c r="CK55" s="572" t="s">
        <v>142</v>
      </c>
      <c r="CL55" s="572" t="s">
        <v>142</v>
      </c>
      <c r="CM55" s="572" t="s">
        <v>146</v>
      </c>
      <c r="CN55" s="572" t="s">
        <v>142</v>
      </c>
      <c r="CO55" s="572" t="s">
        <v>142</v>
      </c>
      <c r="CP55" s="572" t="s">
        <v>142</v>
      </c>
      <c r="CQ55" s="572" t="s">
        <v>142</v>
      </c>
      <c r="CR55" s="572" t="s">
        <v>142</v>
      </c>
      <c r="CS55" s="572" t="s">
        <v>142</v>
      </c>
      <c r="CT55" s="572" t="s">
        <v>142</v>
      </c>
      <c r="CU55" s="572" t="s">
        <v>142</v>
      </c>
      <c r="CV55" s="572" t="s">
        <v>142</v>
      </c>
      <c r="CW55" s="572" t="s">
        <v>142</v>
      </c>
      <c r="CX55" s="572" t="s">
        <v>142</v>
      </c>
      <c r="CY55" s="572" t="s">
        <v>142</v>
      </c>
      <c r="CZ55" s="585" t="s">
        <v>142</v>
      </c>
      <c r="DA55" s="586" t="s">
        <v>154</v>
      </c>
      <c r="DB55" s="587" t="s">
        <v>155</v>
      </c>
      <c r="DC55" s="587" t="s">
        <v>156</v>
      </c>
      <c r="DD55" s="587" t="s">
        <v>146</v>
      </c>
      <c r="DE55" s="587" t="s">
        <v>157</v>
      </c>
      <c r="DF55" s="587" t="s">
        <v>146</v>
      </c>
      <c r="DG55" s="588" t="s">
        <v>142</v>
      </c>
      <c r="DH55" s="588" t="s">
        <v>142</v>
      </c>
      <c r="DI55" s="588" t="s">
        <v>146</v>
      </c>
      <c r="DJ55" s="588" t="s">
        <v>142</v>
      </c>
      <c r="DK55" s="628"/>
      <c r="DL55" s="628"/>
      <c r="DM55" s="628"/>
    </row>
    <row r="56" spans="1:156" ht="135">
      <c r="A56" s="8">
        <v>54</v>
      </c>
      <c r="B56" s="49">
        <v>202609</v>
      </c>
      <c r="C56" s="50" t="s">
        <v>676</v>
      </c>
      <c r="D56" s="50" t="s">
        <v>133</v>
      </c>
      <c r="E56" s="51">
        <v>5932</v>
      </c>
      <c r="F56" s="54" t="s">
        <v>134</v>
      </c>
      <c r="G56" s="53" t="s">
        <v>632</v>
      </c>
      <c r="H56" s="611" t="s">
        <v>660</v>
      </c>
      <c r="I56" s="631" t="s">
        <v>661</v>
      </c>
      <c r="J56" s="632" t="s">
        <v>677</v>
      </c>
      <c r="K56" s="632" t="s">
        <v>678</v>
      </c>
      <c r="L56" s="53"/>
      <c r="M56" s="56" t="s">
        <v>679</v>
      </c>
      <c r="N56" s="57" t="s">
        <v>680</v>
      </c>
      <c r="O56" s="230" t="s">
        <v>142</v>
      </c>
      <c r="P56" s="96" t="s">
        <v>142</v>
      </c>
      <c r="Q56" s="60" t="s">
        <v>352</v>
      </c>
      <c r="R56" s="202" t="s">
        <v>580</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71">
        <v>46310</v>
      </c>
      <c r="AL56" s="64">
        <f>WEEKDAY(Sheet_1_Table_1_134[[#This Row],[Lesson 1 
Date 
(DD-MMM-YYYY)]])</f>
        <v>5</v>
      </c>
      <c r="AM56" s="562">
        <v>0.58333333333333337</v>
      </c>
      <c r="AN56" s="563">
        <v>0.66666666666666663</v>
      </c>
      <c r="AO56" s="612" t="s">
        <v>379</v>
      </c>
      <c r="AP56" s="56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681</v>
      </c>
      <c r="BP56" s="69" t="s">
        <v>682</v>
      </c>
      <c r="BQ56" s="56" t="s">
        <v>683</v>
      </c>
      <c r="BR56" s="57" t="s">
        <v>684</v>
      </c>
      <c r="BS56" s="54"/>
      <c r="BT56" s="56"/>
      <c r="BU56" s="56"/>
      <c r="BV56" s="57"/>
      <c r="BW56" s="60"/>
      <c r="BX56" s="195"/>
      <c r="BY56" s="56" t="s">
        <v>184</v>
      </c>
      <c r="BZ56" s="56"/>
      <c r="CA56" s="56" t="s">
        <v>184</v>
      </c>
      <c r="CB56" s="72"/>
      <c r="CC56" s="72"/>
      <c r="CD56" s="72"/>
      <c r="CE56" s="60" t="s">
        <v>643</v>
      </c>
      <c r="CF56" s="517" t="s">
        <v>644</v>
      </c>
      <c r="CG56" s="56" t="s">
        <v>645</v>
      </c>
      <c r="CH56" s="613" t="s">
        <v>646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row>
    <row r="57" spans="1:156" ht="150">
      <c r="A57" s="8">
        <v>55</v>
      </c>
      <c r="B57" s="589">
        <v>202609</v>
      </c>
      <c r="C57" s="587" t="s">
        <v>685</v>
      </c>
      <c r="D57" s="587" t="s">
        <v>133</v>
      </c>
      <c r="E57" s="591">
        <v>5933</v>
      </c>
      <c r="F57" s="586" t="s">
        <v>134</v>
      </c>
      <c r="G57" s="605" t="s">
        <v>632</v>
      </c>
      <c r="H57" s="614" t="s">
        <v>660</v>
      </c>
      <c r="I57" s="633" t="s">
        <v>661</v>
      </c>
      <c r="J57" s="634" t="s">
        <v>686</v>
      </c>
      <c r="K57" s="634" t="s">
        <v>687</v>
      </c>
      <c r="L57" s="605"/>
      <c r="M57" s="570" t="s">
        <v>688</v>
      </c>
      <c r="N57" s="308" t="s">
        <v>689</v>
      </c>
      <c r="O57" s="635" t="s">
        <v>142</v>
      </c>
      <c r="P57" s="585" t="s">
        <v>142</v>
      </c>
      <c r="Q57" s="568" t="s">
        <v>352</v>
      </c>
      <c r="R57" s="636" t="s">
        <v>580</v>
      </c>
      <c r="S57" s="572">
        <v>50</v>
      </c>
      <c r="T57" s="572"/>
      <c r="U57" s="572"/>
      <c r="V57" s="572"/>
      <c r="W57" s="572"/>
      <c r="X57" s="572"/>
      <c r="Y57" s="572"/>
      <c r="Z57" s="572"/>
      <c r="AA57" s="572">
        <v>50</v>
      </c>
      <c r="AB57" s="619">
        <v>100</v>
      </c>
      <c r="AC57" s="305" t="s">
        <v>199</v>
      </c>
      <c r="AD57" s="572" t="s">
        <v>190</v>
      </c>
      <c r="AE57" s="572" t="s">
        <v>146</v>
      </c>
      <c r="AF57" s="572" t="s">
        <v>142</v>
      </c>
      <c r="AG57" s="572" t="s">
        <v>142</v>
      </c>
      <c r="AH57" s="572">
        <v>3</v>
      </c>
      <c r="AI57" s="572">
        <v>20</v>
      </c>
      <c r="AJ57" s="620">
        <v>60</v>
      </c>
      <c r="AK57" s="184">
        <v>46315</v>
      </c>
      <c r="AL57" s="185">
        <f>WEEKDAY(Sheet_1_Table_1_134[[#This Row],[Lesson 1 
Date 
(DD-MMM-YYYY)]])</f>
        <v>3</v>
      </c>
      <c r="AM57" s="790">
        <v>0.54166666666666663</v>
      </c>
      <c r="AN57" s="791">
        <v>0.66666666666666663</v>
      </c>
      <c r="AO57" s="792" t="s">
        <v>379</v>
      </c>
      <c r="AP57" s="595"/>
      <c r="AQ57" s="596">
        <v>7</v>
      </c>
      <c r="AR57" s="575"/>
      <c r="AS57" s="593"/>
      <c r="AT57" s="594"/>
      <c r="AU57" s="592"/>
      <c r="AV57" s="596">
        <v>7</v>
      </c>
      <c r="AW57" s="575"/>
      <c r="AX57" s="593"/>
      <c r="AY57" s="594"/>
      <c r="AZ57" s="597"/>
      <c r="BA57" s="596">
        <v>7</v>
      </c>
      <c r="BB57" s="575"/>
      <c r="BC57" s="593"/>
      <c r="BD57" s="594"/>
      <c r="BE57" s="592"/>
      <c r="BF57" s="596">
        <v>7</v>
      </c>
      <c r="BG57" s="575"/>
      <c r="BH57" s="593"/>
      <c r="BI57" s="594"/>
      <c r="BJ57" s="597"/>
      <c r="BK57" s="596">
        <v>7</v>
      </c>
      <c r="BL57" s="575"/>
      <c r="BM57" s="593"/>
      <c r="BN57" s="598"/>
      <c r="BO57" s="586"/>
      <c r="BP57" s="569"/>
      <c r="BQ57" s="570"/>
      <c r="BR57" s="308" t="s">
        <v>690</v>
      </c>
      <c r="BS57" s="586"/>
      <c r="BT57" s="570"/>
      <c r="BU57" s="570"/>
      <c r="BV57" s="308"/>
      <c r="BW57" s="568"/>
      <c r="BX57" s="625"/>
      <c r="BY57" s="570"/>
      <c r="BZ57" s="570"/>
      <c r="CA57" s="570"/>
      <c r="CB57" s="600"/>
      <c r="CC57" s="600"/>
      <c r="CD57" s="600"/>
      <c r="CE57" s="568" t="s">
        <v>657</v>
      </c>
      <c r="CF57" s="582" t="s">
        <v>658</v>
      </c>
      <c r="CG57" s="570" t="s">
        <v>643</v>
      </c>
      <c r="CH57" s="626" t="s">
        <v>644</v>
      </c>
      <c r="CI57" s="572" t="s">
        <v>142</v>
      </c>
      <c r="CJ57" s="572" t="s">
        <v>142</v>
      </c>
      <c r="CK57" s="572" t="s">
        <v>142</v>
      </c>
      <c r="CL57" s="572" t="s">
        <v>142</v>
      </c>
      <c r="CM57" s="572" t="s">
        <v>146</v>
      </c>
      <c r="CN57" s="572" t="s">
        <v>142</v>
      </c>
      <c r="CO57" s="572" t="s">
        <v>142</v>
      </c>
      <c r="CP57" s="572" t="s">
        <v>142</v>
      </c>
      <c r="CQ57" s="572" t="s">
        <v>142</v>
      </c>
      <c r="CR57" s="572" t="s">
        <v>142</v>
      </c>
      <c r="CS57" s="572" t="s">
        <v>142</v>
      </c>
      <c r="CT57" s="572" t="s">
        <v>142</v>
      </c>
      <c r="CU57" s="572" t="s">
        <v>142</v>
      </c>
      <c r="CV57" s="572" t="s">
        <v>142</v>
      </c>
      <c r="CW57" s="572" t="s">
        <v>142</v>
      </c>
      <c r="CX57" s="572" t="s">
        <v>142</v>
      </c>
      <c r="CY57" s="572" t="s">
        <v>142</v>
      </c>
      <c r="CZ57" s="585" t="s">
        <v>142</v>
      </c>
      <c r="DA57" s="586" t="s">
        <v>154</v>
      </c>
      <c r="DB57" s="587" t="s">
        <v>155</v>
      </c>
      <c r="DC57" s="587" t="s">
        <v>156</v>
      </c>
      <c r="DD57" s="587" t="s">
        <v>146</v>
      </c>
      <c r="DE57" s="587" t="s">
        <v>157</v>
      </c>
      <c r="DF57" s="587" t="s">
        <v>146</v>
      </c>
      <c r="DG57" s="588" t="s">
        <v>142</v>
      </c>
      <c r="DH57" s="588" t="s">
        <v>142</v>
      </c>
      <c r="DI57" s="588" t="s">
        <v>142</v>
      </c>
      <c r="DJ57" s="588" t="s">
        <v>146</v>
      </c>
      <c r="DK57" s="76" t="s">
        <v>146</v>
      </c>
      <c r="DL57" s="76" t="s">
        <v>146</v>
      </c>
      <c r="DM57" s="76" t="s">
        <v>146</v>
      </c>
    </row>
    <row r="58" spans="1:156" ht="165">
      <c r="A58" s="8">
        <v>56</v>
      </c>
      <c r="B58" s="49">
        <v>202609</v>
      </c>
      <c r="C58" s="728" t="s">
        <v>691</v>
      </c>
      <c r="D58" s="728" t="s">
        <v>133</v>
      </c>
      <c r="E58" s="729">
        <v>5794</v>
      </c>
      <c r="F58" s="727" t="s">
        <v>692</v>
      </c>
      <c r="G58" s="721"/>
      <c r="H58" s="730"/>
      <c r="I58" s="125"/>
      <c r="J58" s="726"/>
      <c r="K58" s="727" t="s">
        <v>693</v>
      </c>
      <c r="L58" s="721"/>
      <c r="M58" s="731" t="s">
        <v>694</v>
      </c>
      <c r="N58" s="125" t="s">
        <v>695</v>
      </c>
      <c r="O58" s="732" t="s">
        <v>142</v>
      </c>
      <c r="P58" s="733" t="s">
        <v>142</v>
      </c>
      <c r="Q58" s="726" t="s">
        <v>352</v>
      </c>
      <c r="R58" s="734" t="e">
        <f>VLOOKUP([2]!Sheet_1_Table_1_13[[#This Row],[Learning Domain]],[2]List!$A$7:$B$12,2,0)</f>
        <v>#REF!</v>
      </c>
      <c r="S58" s="722">
        <v>0</v>
      </c>
      <c r="T58" s="722">
        <v>0</v>
      </c>
      <c r="U58" s="722">
        <v>0</v>
      </c>
      <c r="V58" s="722">
        <v>100</v>
      </c>
      <c r="W58" s="722">
        <v>0</v>
      </c>
      <c r="X58" s="722">
        <v>0</v>
      </c>
      <c r="Y58" s="722">
        <v>0</v>
      </c>
      <c r="Z58" s="722">
        <v>0</v>
      </c>
      <c r="AA58" s="722">
        <v>0</v>
      </c>
      <c r="AB58" s="619">
        <v>100</v>
      </c>
      <c r="AC58" s="730" t="s">
        <v>199</v>
      </c>
      <c r="AD58" s="722" t="s">
        <v>190</v>
      </c>
      <c r="AE58" s="722" t="s">
        <v>146</v>
      </c>
      <c r="AF58" s="722" t="s">
        <v>146</v>
      </c>
      <c r="AG58" s="722" t="s">
        <v>142</v>
      </c>
      <c r="AH58" s="722">
        <v>4</v>
      </c>
      <c r="AI58" s="722">
        <v>10</v>
      </c>
      <c r="AJ58" s="723">
        <f>SUM(Sheet_1_Table_1_134[[#This Row],[ILP Units Per Session]]*Sheet_1_Table_1_134[[#This Row],[Quota]])</f>
        <v>40</v>
      </c>
      <c r="AK58" s="771">
        <v>46276</v>
      </c>
      <c r="AL58" s="64">
        <f>WEEKDAY(Sheet_1_Table_1_134[[#This Row],[Lesson 1 
Date 
(DD-MMM-YYYY)]])</f>
        <v>6</v>
      </c>
      <c r="AM58" s="773">
        <v>0.66666666666666663</v>
      </c>
      <c r="AN58" s="735">
        <v>0.75</v>
      </c>
      <c r="AO58" s="736" t="s">
        <v>692</v>
      </c>
      <c r="AP58" s="737">
        <v>46283</v>
      </c>
      <c r="AQ58" s="724">
        <f>WEEKDAY(Sheet_1_Table_1_134[[#This Row],[Lesson 2
Date 
(DD-MMM-YYYY)]] )</f>
        <v>6</v>
      </c>
      <c r="AR58" s="725">
        <v>0.66666666666666663</v>
      </c>
      <c r="AS58" s="694">
        <v>0.75</v>
      </c>
      <c r="AT58" s="738" t="s">
        <v>692</v>
      </c>
      <c r="AU58" s="739"/>
      <c r="AV58" s="724" t="e">
        <f>WEEKDAY([2]!Sheet_1_Table_1_13[[#This Row],[Lesson 3
Date 
(DD-MMM-YYYY)]])</f>
        <v>#REF!</v>
      </c>
      <c r="AW58" s="725"/>
      <c r="AX58" s="694"/>
      <c r="AY58" s="738"/>
      <c r="AZ58" s="740"/>
      <c r="BA58" s="724" t="e">
        <f>WEEKDAY([2]!Sheet_1_Table_1_13[[#This Row],[Lesson 4
Date 
(DD-MMM-YYYY)]])</f>
        <v>#REF!</v>
      </c>
      <c r="BB58" s="725"/>
      <c r="BC58" s="694"/>
      <c r="BD58" s="738"/>
      <c r="BE58" s="739"/>
      <c r="BF58" s="724" t="e">
        <f>WEEKDAY([2]!Sheet_1_Table_1_13[[#This Row],[Lesson 5
Date 
(DD-MMM-YYYY)]])</f>
        <v>#REF!</v>
      </c>
      <c r="BG58" s="725"/>
      <c r="BH58" s="694"/>
      <c r="BI58" s="738"/>
      <c r="BJ58" s="740"/>
      <c r="BK58" s="724" t="e">
        <f>WEEKDAY([2]!Sheet_1_Table_1_13[[#This Row],[Lesson 6
Date 
(DD-MMM-YYYY)]])</f>
        <v>#REF!</v>
      </c>
      <c r="BL58" s="725"/>
      <c r="BM58" s="694"/>
      <c r="BN58" s="741"/>
      <c r="BO58" s="727" t="s">
        <v>291</v>
      </c>
      <c r="BP58" s="742" t="s">
        <v>696</v>
      </c>
      <c r="BQ58" s="731" t="s">
        <v>697</v>
      </c>
      <c r="BR58" s="125" t="s">
        <v>698</v>
      </c>
      <c r="BS58" s="727"/>
      <c r="BT58" s="731"/>
      <c r="BU58" s="731"/>
      <c r="BV58" s="125"/>
      <c r="BW58" s="726">
        <v>0</v>
      </c>
      <c r="BX58" s="743"/>
      <c r="BY58" s="731" t="s">
        <v>149</v>
      </c>
      <c r="BZ58" s="731"/>
      <c r="CA58" s="731" t="s">
        <v>149</v>
      </c>
      <c r="CB58" s="744"/>
      <c r="CC58" s="744"/>
      <c r="CD58" s="744"/>
      <c r="CE58" s="726" t="s">
        <v>699</v>
      </c>
      <c r="CF58" s="746" t="s">
        <v>700</v>
      </c>
      <c r="CG58" s="731" t="s">
        <v>701</v>
      </c>
      <c r="CH58" s="748" t="s">
        <v>702</v>
      </c>
      <c r="CI58" s="722" t="s">
        <v>146</v>
      </c>
      <c r="CJ58" s="722" t="s">
        <v>142</v>
      </c>
      <c r="CK58" s="722" t="s">
        <v>142</v>
      </c>
      <c r="CL58" s="722" t="s">
        <v>146</v>
      </c>
      <c r="CM58" s="722" t="s">
        <v>142</v>
      </c>
      <c r="CN58" s="722" t="s">
        <v>142</v>
      </c>
      <c r="CO58" s="722" t="s">
        <v>142</v>
      </c>
      <c r="CP58" s="722" t="s">
        <v>142</v>
      </c>
      <c r="CQ58" s="722" t="s">
        <v>142</v>
      </c>
      <c r="CR58" s="722" t="s">
        <v>142</v>
      </c>
      <c r="CS58" s="722" t="s">
        <v>142</v>
      </c>
      <c r="CT58" s="722" t="s">
        <v>142</v>
      </c>
      <c r="CU58" s="722" t="s">
        <v>142</v>
      </c>
      <c r="CV58" s="722" t="s">
        <v>142</v>
      </c>
      <c r="CW58" s="722" t="s">
        <v>142</v>
      </c>
      <c r="CX58" s="722" t="s">
        <v>142</v>
      </c>
      <c r="CY58" s="722" t="s">
        <v>142</v>
      </c>
      <c r="CZ58" s="733" t="s">
        <v>142</v>
      </c>
      <c r="DA58" s="727" t="s">
        <v>154</v>
      </c>
      <c r="DB58" s="728" t="s">
        <v>155</v>
      </c>
      <c r="DC58" s="728" t="s">
        <v>156</v>
      </c>
      <c r="DD58" s="728" t="s">
        <v>146</v>
      </c>
      <c r="DE58" s="728" t="s">
        <v>157</v>
      </c>
      <c r="DF58" s="728" t="s">
        <v>146</v>
      </c>
      <c r="DG58" s="749"/>
      <c r="DH58" s="749"/>
      <c r="DI58" s="749"/>
      <c r="DJ58" s="749"/>
      <c r="DK58" s="76" t="s">
        <v>146</v>
      </c>
      <c r="DL58" s="76" t="s">
        <v>146</v>
      </c>
      <c r="DM58" s="76" t="s">
        <v>146</v>
      </c>
    </row>
    <row r="59" spans="1:156" ht="300">
      <c r="A59" s="8">
        <v>57</v>
      </c>
      <c r="B59" s="49">
        <v>202609</v>
      </c>
      <c r="C59" s="50" t="s">
        <v>703</v>
      </c>
      <c r="D59" s="50" t="s">
        <v>174</v>
      </c>
      <c r="E59" s="51">
        <v>5795</v>
      </c>
      <c r="F59" s="54" t="s">
        <v>692</v>
      </c>
      <c r="G59" s="53"/>
      <c r="H59" s="95"/>
      <c r="I59" s="84"/>
      <c r="J59" s="60" t="s">
        <v>704</v>
      </c>
      <c r="K59" s="54" t="s">
        <v>705</v>
      </c>
      <c r="L59" s="53"/>
      <c r="M59" s="56" t="s">
        <v>706</v>
      </c>
      <c r="N59" s="57" t="s">
        <v>707</v>
      </c>
      <c r="O59" s="230" t="s">
        <v>146</v>
      </c>
      <c r="P59" s="96" t="s">
        <v>146</v>
      </c>
      <c r="Q59" s="60" t="s">
        <v>352</v>
      </c>
      <c r="R59" s="202" t="e">
        <f>VLOOKUP([2]!Sheet_1_Table_1_13[[#This Row],[Learning Domain]],[2]List!$A$7:$B$12,2,0)</f>
        <v>#REF!</v>
      </c>
      <c r="S59" s="55">
        <v>100</v>
      </c>
      <c r="T59" s="55">
        <v>0</v>
      </c>
      <c r="U59" s="55">
        <v>0</v>
      </c>
      <c r="V59" s="55">
        <v>0</v>
      </c>
      <c r="W59" s="55">
        <v>0</v>
      </c>
      <c r="X59" s="55">
        <v>0</v>
      </c>
      <c r="Y59" s="55">
        <v>0</v>
      </c>
      <c r="Z59" s="55">
        <v>0</v>
      </c>
      <c r="AA59" s="55">
        <v>0</v>
      </c>
      <c r="AB59" s="619">
        <v>100</v>
      </c>
      <c r="AC59" s="97" t="s">
        <v>144</v>
      </c>
      <c r="AD59" s="55" t="s">
        <v>190</v>
      </c>
      <c r="AE59" s="55" t="s">
        <v>142</v>
      </c>
      <c r="AF59" s="55" t="s">
        <v>146</v>
      </c>
      <c r="AG59" s="55" t="s">
        <v>708</v>
      </c>
      <c r="AH59" s="55">
        <v>2</v>
      </c>
      <c r="AI59" s="55">
        <v>100</v>
      </c>
      <c r="AJ59" s="723">
        <f>SUM(Sheet_1_Table_1_134[[#This Row],[ILP Units Per Session]]*Sheet_1_Table_1_134[[#This Row],[Quota]])</f>
        <v>200</v>
      </c>
      <c r="AK59" s="771">
        <v>46309</v>
      </c>
      <c r="AL59" s="64">
        <f>WEEKDAY(Sheet_1_Table_1_134[[#This Row],[Lesson 1 
Date 
(DD-MMM-YYYY)]])</f>
        <v>4</v>
      </c>
      <c r="AM59" s="562">
        <v>0.625</v>
      </c>
      <c r="AN59" s="563">
        <v>0.70833333333333337</v>
      </c>
      <c r="AO59" s="717" t="s">
        <v>709</v>
      </c>
      <c r="AP59" s="565"/>
      <c r="AQ59" s="64" t="e">
        <f>WEEKDAY([2]!Sheet_1_Table_1_13[[#This Row],[Lesson 2
Date 
(DD-MMM-YYYY)]])</f>
        <v>#REF!</v>
      </c>
      <c r="AR59" s="65"/>
      <c r="AS59" s="66"/>
      <c r="AT59" s="126"/>
      <c r="AU59" s="63"/>
      <c r="AV59" s="64" t="e">
        <f>WEEKDAY([2]!Sheet_1_Table_1_13[[#This Row],[Lesson 3
Date 
(DD-MMM-YYYY)]])</f>
        <v>#REF!</v>
      </c>
      <c r="AW59" s="65"/>
      <c r="AX59" s="66"/>
      <c r="AY59" s="126"/>
      <c r="AZ59" s="98"/>
      <c r="BA59" s="64" t="e">
        <f>WEEKDAY([2]!Sheet_1_Table_1_13[[#This Row],[Lesson 4
Date 
(DD-MMM-YYYY)]])</f>
        <v>#REF!</v>
      </c>
      <c r="BB59" s="65"/>
      <c r="BC59" s="66"/>
      <c r="BD59" s="126"/>
      <c r="BE59" s="63"/>
      <c r="BF59" s="64" t="e">
        <f>WEEKDAY([2]!Sheet_1_Table_1_13[[#This Row],[Lesson 5
Date 
(DD-MMM-YYYY)]])</f>
        <v>#REF!</v>
      </c>
      <c r="BG59" s="65"/>
      <c r="BH59" s="66"/>
      <c r="BI59" s="126"/>
      <c r="BJ59" s="98"/>
      <c r="BK59" s="64" t="e">
        <f>WEEKDAY([2]!Sheet_1_Table_1_13[[#This Row],[Lesson 6
Date 
(DD-MMM-YYYY)]])</f>
        <v>#REF!</v>
      </c>
      <c r="BL59" s="65"/>
      <c r="BM59" s="66"/>
      <c r="BN59" s="99"/>
      <c r="BO59" s="54" t="s">
        <v>291</v>
      </c>
      <c r="BP59" s="69" t="s">
        <v>710</v>
      </c>
      <c r="BQ59" s="56" t="s">
        <v>711</v>
      </c>
      <c r="BR59" s="57" t="s">
        <v>712</v>
      </c>
      <c r="BS59" s="54"/>
      <c r="BT59" s="56"/>
      <c r="BU59" s="56"/>
      <c r="BV59" s="57"/>
      <c r="BW59" s="60">
        <v>0</v>
      </c>
      <c r="BX59" s="195"/>
      <c r="BY59" s="56" t="s">
        <v>184</v>
      </c>
      <c r="BZ59" s="56"/>
      <c r="CA59" s="56" t="s">
        <v>184</v>
      </c>
      <c r="CB59" s="72"/>
      <c r="CC59" s="72"/>
      <c r="CD59" s="72"/>
      <c r="CE59" s="745" t="s">
        <v>713</v>
      </c>
      <c r="CF59" s="517" t="s">
        <v>714</v>
      </c>
      <c r="CG59" s="747" t="s">
        <v>715</v>
      </c>
      <c r="CH59" s="613" t="s">
        <v>716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row>
    <row r="60" spans="1:156" ht="255">
      <c r="A60" s="8">
        <v>58</v>
      </c>
      <c r="B60" s="49">
        <v>202609</v>
      </c>
      <c r="C60" s="50" t="s">
        <v>717</v>
      </c>
      <c r="D60" s="50" t="s">
        <v>174</v>
      </c>
      <c r="E60" s="51">
        <v>5797</v>
      </c>
      <c r="F60" s="54" t="s">
        <v>692</v>
      </c>
      <c r="G60" s="53"/>
      <c r="H60" s="95"/>
      <c r="I60" s="84"/>
      <c r="J60" s="60" t="s">
        <v>718</v>
      </c>
      <c r="K60" s="54" t="s">
        <v>719</v>
      </c>
      <c r="L60" s="53"/>
      <c r="M60" s="56" t="s">
        <v>720</v>
      </c>
      <c r="N60" s="57" t="s">
        <v>721</v>
      </c>
      <c r="O60" s="230" t="s">
        <v>146</v>
      </c>
      <c r="P60" s="96" t="s">
        <v>146</v>
      </c>
      <c r="Q60" s="60" t="s">
        <v>352</v>
      </c>
      <c r="R60" s="202" t="e">
        <f>VLOOKUP([2]!Sheet_1_Table_1_13[[#This Row],[Learning Domain]],[2]List!$A$7:$B$12,2,0)</f>
        <v>#REF!</v>
      </c>
      <c r="S60" s="55">
        <v>50</v>
      </c>
      <c r="T60" s="55">
        <v>0</v>
      </c>
      <c r="U60" s="55">
        <v>0</v>
      </c>
      <c r="V60" s="55">
        <v>0</v>
      </c>
      <c r="W60" s="55">
        <v>0</v>
      </c>
      <c r="X60" s="55">
        <v>50</v>
      </c>
      <c r="Y60" s="55">
        <v>0</v>
      </c>
      <c r="Z60" s="55">
        <v>0</v>
      </c>
      <c r="AA60" s="55">
        <v>0</v>
      </c>
      <c r="AB60" s="619">
        <v>100</v>
      </c>
      <c r="AC60" s="97" t="s">
        <v>144</v>
      </c>
      <c r="AD60" s="55" t="s">
        <v>190</v>
      </c>
      <c r="AE60" s="55" t="s">
        <v>142</v>
      </c>
      <c r="AF60" s="55" t="s">
        <v>146</v>
      </c>
      <c r="AG60" s="55" t="s">
        <v>142</v>
      </c>
      <c r="AH60" s="55">
        <v>2</v>
      </c>
      <c r="AI60" s="55">
        <v>100</v>
      </c>
      <c r="AJ60" s="723">
        <f>SUM(Sheet_1_Table_1_134[[#This Row],[ILP Units Per Session]]*Sheet_1_Table_1_134[[#This Row],[Quota]])</f>
        <v>200</v>
      </c>
      <c r="AK60" s="771">
        <v>46323</v>
      </c>
      <c r="AL60" s="64">
        <f>WEEKDAY(Sheet_1_Table_1_134[[#This Row],[Lesson 1 
Date 
(DD-MMM-YYYY)]])</f>
        <v>4</v>
      </c>
      <c r="AM60" s="562">
        <v>0.625</v>
      </c>
      <c r="AN60" s="563">
        <v>0.70833333333333337</v>
      </c>
      <c r="AO60" s="717" t="s">
        <v>709</v>
      </c>
      <c r="AP60" s="565"/>
      <c r="AQ60" s="64" t="e">
        <f>WEEKDAY([2]!Sheet_1_Table_1_13[[#This Row],[Lesson 2
Date 
(DD-MMM-YYYY)]])</f>
        <v>#REF!</v>
      </c>
      <c r="AR60" s="65"/>
      <c r="AS60" s="66"/>
      <c r="AT60" s="126"/>
      <c r="AU60" s="63"/>
      <c r="AV60" s="64" t="e">
        <f>WEEKDAY([2]!Sheet_1_Table_1_13[[#This Row],[Lesson 3
Date 
(DD-MMM-YYYY)]])</f>
        <v>#REF!</v>
      </c>
      <c r="AW60" s="65"/>
      <c r="AX60" s="66"/>
      <c r="AY60" s="126"/>
      <c r="AZ60" s="98"/>
      <c r="BA60" s="64" t="e">
        <f>WEEKDAY([2]!Sheet_1_Table_1_13[[#This Row],[Lesson 4
Date 
(DD-MMM-YYYY)]])</f>
        <v>#REF!</v>
      </c>
      <c r="BB60" s="65"/>
      <c r="BC60" s="66"/>
      <c r="BD60" s="126"/>
      <c r="BE60" s="63"/>
      <c r="BF60" s="64" t="e">
        <f>WEEKDAY([2]!Sheet_1_Table_1_13[[#This Row],[Lesson 5
Date 
(DD-MMM-YYYY)]])</f>
        <v>#REF!</v>
      </c>
      <c r="BG60" s="65"/>
      <c r="BH60" s="66"/>
      <c r="BI60" s="126"/>
      <c r="BJ60" s="98"/>
      <c r="BK60" s="64" t="e">
        <f>WEEKDAY([2]!Sheet_1_Table_1_13[[#This Row],[Lesson 6
Date 
(DD-MMM-YYYY)]])</f>
        <v>#REF!</v>
      </c>
      <c r="BL60" s="65"/>
      <c r="BM60" s="66"/>
      <c r="BN60" s="99"/>
      <c r="BO60" s="54" t="s">
        <v>291</v>
      </c>
      <c r="BP60" s="69" t="s">
        <v>710</v>
      </c>
      <c r="BQ60" s="56" t="s">
        <v>711</v>
      </c>
      <c r="BR60" s="57" t="s">
        <v>712</v>
      </c>
      <c r="BS60" s="54"/>
      <c r="BT60" s="56"/>
      <c r="BU60" s="56"/>
      <c r="BV60" s="57"/>
      <c r="BW60" s="60">
        <v>0</v>
      </c>
      <c r="BX60" s="195"/>
      <c r="BY60" s="56"/>
      <c r="BZ60" s="56"/>
      <c r="CA60" s="56"/>
      <c r="CB60" s="72"/>
      <c r="CC60" s="72"/>
      <c r="CD60" s="72"/>
      <c r="CE60" s="745" t="s">
        <v>713</v>
      </c>
      <c r="CF60" s="517" t="s">
        <v>714</v>
      </c>
      <c r="CG60" s="747" t="s">
        <v>715</v>
      </c>
      <c r="CH60" s="613" t="s">
        <v>716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row>
    <row r="61" spans="1:156" ht="255">
      <c r="A61" s="8">
        <v>59</v>
      </c>
      <c r="B61" s="589">
        <v>202609</v>
      </c>
      <c r="C61" s="587" t="s">
        <v>717</v>
      </c>
      <c r="D61" s="587" t="s">
        <v>204</v>
      </c>
      <c r="E61" s="591">
        <v>5798</v>
      </c>
      <c r="F61" s="586" t="s">
        <v>722</v>
      </c>
      <c r="G61" s="605"/>
      <c r="H61" s="307"/>
      <c r="I61" s="311"/>
      <c r="J61" s="568" t="s">
        <v>718</v>
      </c>
      <c r="K61" s="586" t="s">
        <v>723</v>
      </c>
      <c r="L61" s="605"/>
      <c r="M61" s="570" t="s">
        <v>724</v>
      </c>
      <c r="N61" s="308" t="s">
        <v>721</v>
      </c>
      <c r="O61" s="635" t="s">
        <v>146</v>
      </c>
      <c r="P61" s="585" t="s">
        <v>146</v>
      </c>
      <c r="Q61" s="568" t="s">
        <v>352</v>
      </c>
      <c r="R61" s="636" t="e">
        <f>VLOOKUP([2]!Sheet_1_Table_1_13[[#This Row],[Learning Domain]],[2]List!$A$7:$B$12,2,0)</f>
        <v>#REF!</v>
      </c>
      <c r="S61" s="572">
        <v>50</v>
      </c>
      <c r="T61" s="572">
        <v>0</v>
      </c>
      <c r="U61" s="572">
        <v>0</v>
      </c>
      <c r="V61" s="572">
        <v>0</v>
      </c>
      <c r="W61" s="572">
        <v>0</v>
      </c>
      <c r="X61" s="572">
        <v>50</v>
      </c>
      <c r="Y61" s="572">
        <v>0</v>
      </c>
      <c r="Z61" s="572">
        <v>0</v>
      </c>
      <c r="AA61" s="572">
        <v>0</v>
      </c>
      <c r="AB61" s="619">
        <v>100</v>
      </c>
      <c r="AC61" s="305" t="s">
        <v>144</v>
      </c>
      <c r="AD61" s="572" t="s">
        <v>190</v>
      </c>
      <c r="AE61" s="572" t="s">
        <v>146</v>
      </c>
      <c r="AF61" s="572" t="s">
        <v>142</v>
      </c>
      <c r="AG61" s="572" t="s">
        <v>142</v>
      </c>
      <c r="AH61" s="572">
        <v>2</v>
      </c>
      <c r="AI61" s="572">
        <v>100</v>
      </c>
      <c r="AJ61" s="723">
        <f>SUM(Sheet_1_Table_1_134[[#This Row],[ILP Units Per Session]]*Sheet_1_Table_1_134[[#This Row],[Quota]])</f>
        <v>200</v>
      </c>
      <c r="AK61" s="771">
        <v>46337</v>
      </c>
      <c r="AL61" s="64">
        <f>WEEKDAY(Sheet_1_Table_1_134[[#This Row],[Lesson 1 
Date 
(DD-MMM-YYYY)]])</f>
        <v>4</v>
      </c>
      <c r="AM61" s="772">
        <v>0.625</v>
      </c>
      <c r="AN61" s="621">
        <v>0.70833333333333337</v>
      </c>
      <c r="AO61" s="637" t="s">
        <v>709</v>
      </c>
      <c r="AP61" s="595"/>
      <c r="AQ61" s="596" t="e">
        <f>WEEKDAY([2]!Sheet_1_Table_1_13[[#This Row],[Lesson 2
Date 
(DD-MMM-YYYY)]])</f>
        <v>#REF!</v>
      </c>
      <c r="AR61" s="575"/>
      <c r="AS61" s="593"/>
      <c r="AT61" s="594"/>
      <c r="AU61" s="592"/>
      <c r="AV61" s="596" t="e">
        <f>WEEKDAY([2]!Sheet_1_Table_1_13[[#This Row],[Lesson 3
Date 
(DD-MMM-YYYY)]])</f>
        <v>#REF!</v>
      </c>
      <c r="AW61" s="575"/>
      <c r="AX61" s="593"/>
      <c r="AY61" s="594"/>
      <c r="AZ61" s="597"/>
      <c r="BA61" s="596" t="e">
        <f>WEEKDAY([2]!Sheet_1_Table_1_13[[#This Row],[Lesson 4
Date 
(DD-MMM-YYYY)]])</f>
        <v>#REF!</v>
      </c>
      <c r="BB61" s="575"/>
      <c r="BC61" s="593"/>
      <c r="BD61" s="594"/>
      <c r="BE61" s="592"/>
      <c r="BF61" s="596" t="e">
        <f>WEEKDAY([2]!Sheet_1_Table_1_13[[#This Row],[Lesson 5
Date 
(DD-MMM-YYYY)]])</f>
        <v>#REF!</v>
      </c>
      <c r="BG61" s="575"/>
      <c r="BH61" s="593"/>
      <c r="BI61" s="594"/>
      <c r="BJ61" s="597"/>
      <c r="BK61" s="596" t="e">
        <f>WEEKDAY([2]!Sheet_1_Table_1_13[[#This Row],[Lesson 6
Date 
(DD-MMM-YYYY)]])</f>
        <v>#REF!</v>
      </c>
      <c r="BL61" s="575"/>
      <c r="BM61" s="593"/>
      <c r="BN61" s="598"/>
      <c r="BO61" s="586" t="s">
        <v>291</v>
      </c>
      <c r="BP61" s="569" t="s">
        <v>710</v>
      </c>
      <c r="BQ61" s="570" t="s">
        <v>711</v>
      </c>
      <c r="BR61" s="308" t="s">
        <v>712</v>
      </c>
      <c r="BS61" s="586"/>
      <c r="BT61" s="570"/>
      <c r="BU61" s="570"/>
      <c r="BV61" s="308"/>
      <c r="BW61" s="568">
        <v>0</v>
      </c>
      <c r="BX61" s="625"/>
      <c r="BY61" s="570" t="s">
        <v>184</v>
      </c>
      <c r="BZ61" s="570"/>
      <c r="CA61" s="570" t="s">
        <v>184</v>
      </c>
      <c r="CB61" s="600"/>
      <c r="CC61" s="600"/>
      <c r="CD61" s="600"/>
      <c r="CE61" s="750" t="s">
        <v>713</v>
      </c>
      <c r="CF61" s="582" t="s">
        <v>714</v>
      </c>
      <c r="CG61" s="751" t="s">
        <v>715</v>
      </c>
      <c r="CH61" s="626" t="s">
        <v>716</v>
      </c>
      <c r="CI61" s="572" t="s">
        <v>146</v>
      </c>
      <c r="CJ61" s="572" t="s">
        <v>142</v>
      </c>
      <c r="CK61" s="572" t="s">
        <v>142</v>
      </c>
      <c r="CL61" s="572" t="s">
        <v>142</v>
      </c>
      <c r="CM61" s="572" t="s">
        <v>146</v>
      </c>
      <c r="CN61" s="572" t="s">
        <v>142</v>
      </c>
      <c r="CO61" s="572" t="s">
        <v>142</v>
      </c>
      <c r="CP61" s="572" t="s">
        <v>142</v>
      </c>
      <c r="CQ61" s="572" t="s">
        <v>142</v>
      </c>
      <c r="CR61" s="572" t="s">
        <v>142</v>
      </c>
      <c r="CS61" s="572" t="s">
        <v>142</v>
      </c>
      <c r="CT61" s="572" t="s">
        <v>142</v>
      </c>
      <c r="CU61" s="572" t="s">
        <v>142</v>
      </c>
      <c r="CV61" s="572" t="s">
        <v>142</v>
      </c>
      <c r="CW61" s="572" t="s">
        <v>142</v>
      </c>
      <c r="CX61" s="572" t="s">
        <v>142</v>
      </c>
      <c r="CY61" s="572" t="s">
        <v>142</v>
      </c>
      <c r="CZ61" s="585" t="s">
        <v>142</v>
      </c>
      <c r="DA61" s="586" t="s">
        <v>154</v>
      </c>
      <c r="DB61" s="587" t="s">
        <v>155</v>
      </c>
      <c r="DC61" s="587" t="s">
        <v>156</v>
      </c>
      <c r="DD61" s="587" t="s">
        <v>146</v>
      </c>
      <c r="DE61" s="587" t="s">
        <v>157</v>
      </c>
      <c r="DF61" s="587" t="s">
        <v>146</v>
      </c>
      <c r="DG61" s="588"/>
      <c r="DH61" s="588"/>
      <c r="DI61" s="588"/>
      <c r="DJ61" s="588"/>
      <c r="DK61" s="76" t="s">
        <v>146</v>
      </c>
      <c r="DL61" s="76" t="s">
        <v>146</v>
      </c>
      <c r="DM61" s="76" t="s">
        <v>146</v>
      </c>
    </row>
    <row r="62" spans="1:156" ht="255">
      <c r="A62" s="8">
        <v>60</v>
      </c>
      <c r="B62" s="589">
        <v>202609</v>
      </c>
      <c r="C62" s="587" t="s">
        <v>725</v>
      </c>
      <c r="D62" s="587" t="s">
        <v>174</v>
      </c>
      <c r="E62" s="591">
        <v>5822</v>
      </c>
      <c r="F62" s="586" t="s">
        <v>301</v>
      </c>
      <c r="G62" s="605"/>
      <c r="H62" s="307"/>
      <c r="I62" s="311"/>
      <c r="J62" s="568" t="s">
        <v>726</v>
      </c>
      <c r="K62" s="586" t="s">
        <v>727</v>
      </c>
      <c r="L62" s="605"/>
      <c r="M62" s="570" t="s">
        <v>728</v>
      </c>
      <c r="N62" s="308" t="s">
        <v>729</v>
      </c>
      <c r="O62" s="635" t="s">
        <v>146</v>
      </c>
      <c r="P62" s="585" t="s">
        <v>146</v>
      </c>
      <c r="Q62" s="568" t="s">
        <v>352</v>
      </c>
      <c r="R62" s="636" t="e">
        <f>VLOOKUP([5]!Sheet_1_Table_1_13[[#This Row],[Learning Domain]],[5]List!$A$7:$B$12,2,0)</f>
        <v>#REF!</v>
      </c>
      <c r="S62" s="572">
        <v>0</v>
      </c>
      <c r="T62" s="572">
        <v>0</v>
      </c>
      <c r="U62" s="572">
        <v>0</v>
      </c>
      <c r="V62" s="572">
        <v>0</v>
      </c>
      <c r="W62" s="572">
        <v>0</v>
      </c>
      <c r="X62" s="572">
        <v>0</v>
      </c>
      <c r="Y62" s="572">
        <v>80</v>
      </c>
      <c r="Z62" s="572">
        <v>0</v>
      </c>
      <c r="AA62" s="572">
        <v>20</v>
      </c>
      <c r="AB62" s="619">
        <v>100</v>
      </c>
      <c r="AC62" s="305" t="s">
        <v>199</v>
      </c>
      <c r="AD62" s="572" t="s">
        <v>190</v>
      </c>
      <c r="AE62" s="572" t="s">
        <v>146</v>
      </c>
      <c r="AF62" s="572" t="s">
        <v>146</v>
      </c>
      <c r="AG62" s="572" t="s">
        <v>142</v>
      </c>
      <c r="AH62" s="572">
        <v>1</v>
      </c>
      <c r="AI62" s="572">
        <v>26</v>
      </c>
      <c r="AJ62" s="723">
        <f>SUM(Sheet_1_Table_1_134[[#This Row],[ILP Units Per Session]]*Sheet_1_Table_1_134[[#This Row],[Quota]])</f>
        <v>26</v>
      </c>
      <c r="AK62" s="771">
        <v>46304</v>
      </c>
      <c r="AL62" s="64">
        <f>WEEKDAY(Sheet_1_Table_1_134[[#This Row],[Lesson 1 
Date 
(DD-MMM-YYYY)]])</f>
        <v>6</v>
      </c>
      <c r="AM62" s="772">
        <v>0.625</v>
      </c>
      <c r="AN62" s="621">
        <v>0.66666666666666663</v>
      </c>
      <c r="AO62" s="637" t="s">
        <v>730</v>
      </c>
      <c r="AP62" s="595"/>
      <c r="AQ62" s="596" t="e">
        <f>WEEKDAY([5]!Sheet_1_Table_1_13[[#This Row],[Lesson 2
Date 
(DD-MMM-YYYY)]])</f>
        <v>#REF!</v>
      </c>
      <c r="AR62" s="575"/>
      <c r="AS62" s="593"/>
      <c r="AT62" s="594"/>
      <c r="AU62" s="592"/>
      <c r="AV62" s="596" t="e">
        <f>WEEKDAY([5]!Sheet_1_Table_1_13[[#This Row],[Lesson 3
Date 
(DD-MMM-YYYY)]])</f>
        <v>#REF!</v>
      </c>
      <c r="AW62" s="575"/>
      <c r="AX62" s="593"/>
      <c r="AY62" s="594"/>
      <c r="AZ62" s="597"/>
      <c r="BA62" s="596" t="e">
        <f>WEEKDAY([5]!Sheet_1_Table_1_13[[#This Row],[Lesson 4
Date 
(DD-MMM-YYYY)]])</f>
        <v>#REF!</v>
      </c>
      <c r="BB62" s="575"/>
      <c r="BC62" s="593"/>
      <c r="BD62" s="594"/>
      <c r="BE62" s="592"/>
      <c r="BF62" s="596" t="e">
        <f>WEEKDAY([5]!Sheet_1_Table_1_13[[#This Row],[Lesson 5
Date 
(DD-MMM-YYYY)]])</f>
        <v>#REF!</v>
      </c>
      <c r="BG62" s="575"/>
      <c r="BH62" s="593"/>
      <c r="BI62" s="594"/>
      <c r="BJ62" s="597"/>
      <c r="BK62" s="596" t="e">
        <f>WEEKDAY([5]!Sheet_1_Table_1_13[[#This Row],[Lesson 6
Date 
(DD-MMM-YYYY)]])</f>
        <v>#REF!</v>
      </c>
      <c r="BL62" s="575"/>
      <c r="BM62" s="593"/>
      <c r="BN62" s="598"/>
      <c r="BO62" s="586"/>
      <c r="BP62" s="569" t="s">
        <v>731</v>
      </c>
      <c r="BQ62" s="570"/>
      <c r="BR62" s="308"/>
      <c r="BS62" s="586"/>
      <c r="BT62" s="570"/>
      <c r="BU62" s="570"/>
      <c r="BV62" s="308"/>
      <c r="BW62" s="568">
        <v>0</v>
      </c>
      <c r="BX62" s="625">
        <v>100</v>
      </c>
      <c r="BY62" s="756">
        <v>0.59722222222222221</v>
      </c>
      <c r="BZ62" s="570" t="s">
        <v>310</v>
      </c>
      <c r="CA62" s="570" t="s">
        <v>149</v>
      </c>
      <c r="CB62" s="600"/>
      <c r="CC62" s="600"/>
      <c r="CD62" s="600"/>
      <c r="CE62" s="568" t="s">
        <v>311</v>
      </c>
      <c r="CF62" s="582" t="s">
        <v>312</v>
      </c>
      <c r="CG62" s="570"/>
      <c r="CH62" s="308"/>
      <c r="CI62" s="572" t="s">
        <v>146</v>
      </c>
      <c r="CJ62" s="572" t="s">
        <v>142</v>
      </c>
      <c r="CK62" s="572" t="s">
        <v>142</v>
      </c>
      <c r="CL62" s="572" t="s">
        <v>142</v>
      </c>
      <c r="CM62" s="572" t="s">
        <v>146</v>
      </c>
      <c r="CN62" s="572" t="s">
        <v>142</v>
      </c>
      <c r="CO62" s="572" t="s">
        <v>142</v>
      </c>
      <c r="CP62" s="572" t="s">
        <v>142</v>
      </c>
      <c r="CQ62" s="572" t="s">
        <v>142</v>
      </c>
      <c r="CR62" s="572" t="s">
        <v>142</v>
      </c>
      <c r="CS62" s="572" t="s">
        <v>142</v>
      </c>
      <c r="CT62" s="572" t="s">
        <v>142</v>
      </c>
      <c r="CU62" s="572" t="s">
        <v>142</v>
      </c>
      <c r="CV62" s="572" t="s">
        <v>142</v>
      </c>
      <c r="CW62" s="572" t="s">
        <v>146</v>
      </c>
      <c r="CX62" s="572" t="s">
        <v>146</v>
      </c>
      <c r="CY62" s="572" t="s">
        <v>142</v>
      </c>
      <c r="CZ62" s="585" t="s">
        <v>142</v>
      </c>
      <c r="DA62" s="586" t="s">
        <v>154</v>
      </c>
      <c r="DB62" s="587" t="s">
        <v>155</v>
      </c>
      <c r="DC62" s="587" t="s">
        <v>156</v>
      </c>
      <c r="DD62" s="587" t="s">
        <v>146</v>
      </c>
      <c r="DE62" s="587" t="s">
        <v>157</v>
      </c>
      <c r="DF62" s="587" t="s">
        <v>146</v>
      </c>
      <c r="DG62" s="588"/>
      <c r="DH62" s="588"/>
      <c r="DI62" s="588"/>
      <c r="DJ62" s="588"/>
      <c r="DK62" s="76" t="s">
        <v>146</v>
      </c>
      <c r="DL62" s="76" t="s">
        <v>146</v>
      </c>
      <c r="DM62" s="76" t="s">
        <v>146</v>
      </c>
    </row>
    <row r="63" spans="1:156" ht="105">
      <c r="B63" s="49">
        <v>202609</v>
      </c>
      <c r="C63" s="50" t="s">
        <v>732</v>
      </c>
      <c r="D63" s="50" t="s">
        <v>133</v>
      </c>
      <c r="E63" s="51">
        <v>5802</v>
      </c>
      <c r="F63" s="54" t="s">
        <v>733</v>
      </c>
      <c r="G63" s="53"/>
      <c r="H63" s="95"/>
      <c r="I63" s="84"/>
      <c r="J63" s="60"/>
      <c r="K63" s="54" t="s">
        <v>734</v>
      </c>
      <c r="L63" s="53"/>
      <c r="M63" s="56" t="s">
        <v>735</v>
      </c>
      <c r="N63" s="57" t="s">
        <v>736</v>
      </c>
      <c r="O63" s="230" t="s">
        <v>142</v>
      </c>
      <c r="P63" s="96" t="s">
        <v>142</v>
      </c>
      <c r="Q63" s="60" t="s">
        <v>352</v>
      </c>
      <c r="R63" s="202" t="e">
        <f>VLOOKUP([7]!Sheet_1_Table_1_13[[#This Row],[Learning Domain]],[7]List!$A$7:$B$12,2,0)</f>
        <v>#REF!</v>
      </c>
      <c r="S63" s="55">
        <v>0</v>
      </c>
      <c r="T63" s="55">
        <v>0</v>
      </c>
      <c r="U63" s="55">
        <v>0</v>
      </c>
      <c r="V63" s="55">
        <v>0</v>
      </c>
      <c r="W63" s="55">
        <v>0</v>
      </c>
      <c r="X63" s="55">
        <v>0</v>
      </c>
      <c r="Y63" s="55">
        <v>0</v>
      </c>
      <c r="Z63" s="55">
        <v>100</v>
      </c>
      <c r="AA63" s="55">
        <v>0</v>
      </c>
      <c r="AB63" s="619">
        <v>100</v>
      </c>
      <c r="AC63" s="730" t="s">
        <v>199</v>
      </c>
      <c r="AD63" s="722" t="s">
        <v>190</v>
      </c>
      <c r="AE63" s="55" t="s">
        <v>146</v>
      </c>
      <c r="AF63" s="55" t="s">
        <v>142</v>
      </c>
      <c r="AG63" s="55" t="s">
        <v>142</v>
      </c>
      <c r="AH63" s="55">
        <v>1</v>
      </c>
      <c r="AI63" s="55">
        <v>100</v>
      </c>
      <c r="AJ63" s="723">
        <f>SUM(Sheet_1_Table_1_134[[#This Row],[ILP Units Per Session]]*Sheet_1_Table_1_134[[#This Row],[Quota]])</f>
        <v>100</v>
      </c>
      <c r="AK63" s="771">
        <v>46286</v>
      </c>
      <c r="AL63" s="64">
        <f>WEEKDAY(Sheet_1_Table_1_134[[#This Row],[Lesson 1 
Date 
(DD-MMM-YYYY)]])</f>
        <v>2</v>
      </c>
      <c r="AM63" s="562">
        <v>0.60416666666666663</v>
      </c>
      <c r="AN63" s="563">
        <v>0.64583333333333337</v>
      </c>
      <c r="AO63" s="736" t="s">
        <v>737</v>
      </c>
      <c r="AP63" s="565"/>
      <c r="AQ63" s="64" t="e">
        <f>WEEKDAY([7]!Sheet_1_Table_1_13[[#This Row],[Lesson 2
Date 
(DD-MMM-YYYY)]])</f>
        <v>#REF!</v>
      </c>
      <c r="AR63" s="65"/>
      <c r="AS63" s="66"/>
      <c r="AT63" s="126"/>
      <c r="AU63" s="63"/>
      <c r="AV63" s="64" t="e">
        <f>WEEKDAY([7]!Sheet_1_Table_1_13[[#This Row],[Lesson 3
Date 
(DD-MMM-YYYY)]])</f>
        <v>#REF!</v>
      </c>
      <c r="AW63" s="65"/>
      <c r="AX63" s="66"/>
      <c r="AY63" s="126"/>
      <c r="AZ63" s="98"/>
      <c r="BA63" s="64" t="e">
        <f>WEEKDAY([7]!Sheet_1_Table_1_13[[#This Row],[Lesson 4
Date 
(DD-MMM-YYYY)]])</f>
        <v>#REF!</v>
      </c>
      <c r="BB63" s="65"/>
      <c r="BC63" s="66"/>
      <c r="BD63" s="126"/>
      <c r="BE63" s="63"/>
      <c r="BF63" s="64" t="e">
        <f>WEEKDAY([7]!Sheet_1_Table_1_13[[#This Row],[Lesson 5
Date 
(DD-MMM-YYYY)]])</f>
        <v>#REF!</v>
      </c>
      <c r="BG63" s="65"/>
      <c r="BH63" s="66"/>
      <c r="BI63" s="126"/>
      <c r="BJ63" s="98"/>
      <c r="BK63" s="64" t="e">
        <f>WEEKDAY([7]!Sheet_1_Table_1_13[[#This Row],[Lesson 6
Date 
(DD-MMM-YYYY)]])</f>
        <v>#REF!</v>
      </c>
      <c r="BL63" s="65"/>
      <c r="BM63" s="66"/>
      <c r="BN63" s="99"/>
      <c r="BO63" s="727" t="s">
        <v>738</v>
      </c>
      <c r="BP63" s="742" t="s">
        <v>739</v>
      </c>
      <c r="BQ63" s="731" t="s">
        <v>740</v>
      </c>
      <c r="BR63" s="125" t="s">
        <v>741</v>
      </c>
      <c r="BS63" s="54"/>
      <c r="BT63" s="56"/>
      <c r="BU63" s="56"/>
      <c r="BV63" s="57"/>
      <c r="BW63" s="60"/>
      <c r="BX63" s="195"/>
      <c r="BY63" s="56" t="s">
        <v>149</v>
      </c>
      <c r="BZ63" s="56"/>
      <c r="CA63" s="56" t="s">
        <v>149</v>
      </c>
      <c r="CB63" s="72"/>
      <c r="CC63" s="72"/>
      <c r="CD63" s="72"/>
      <c r="CE63" s="726" t="s">
        <v>742</v>
      </c>
      <c r="CF63" s="517" t="s">
        <v>743</v>
      </c>
      <c r="CG63" s="731" t="s">
        <v>744</v>
      </c>
      <c r="CH63" s="613" t="s">
        <v>745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row>
    <row r="64" spans="1:156" ht="150">
      <c r="B64" s="49">
        <v>202609</v>
      </c>
      <c r="C64" s="50" t="s">
        <v>746</v>
      </c>
      <c r="D64" s="50" t="s">
        <v>133</v>
      </c>
      <c r="E64" s="51">
        <v>5803</v>
      </c>
      <c r="F64" s="54" t="s">
        <v>733</v>
      </c>
      <c r="G64" s="53"/>
      <c r="H64" s="95"/>
      <c r="I64" s="84"/>
      <c r="J64" s="60"/>
      <c r="K64" s="54" t="s">
        <v>747</v>
      </c>
      <c r="L64" s="53"/>
      <c r="M64" s="56" t="s">
        <v>748</v>
      </c>
      <c r="N64" s="57" t="s">
        <v>749</v>
      </c>
      <c r="O64" s="230" t="s">
        <v>142</v>
      </c>
      <c r="P64" s="96" t="s">
        <v>142</v>
      </c>
      <c r="Q64" s="60" t="s">
        <v>352</v>
      </c>
      <c r="R64" s="202" t="e">
        <f>VLOOKUP([7]!Sheet_1_Table_1_13[[#This Row],[Learning Domain]],[7]List!$A$7:$B$12,2,0)</f>
        <v>#REF!</v>
      </c>
      <c r="S64" s="55">
        <v>0</v>
      </c>
      <c r="T64" s="55">
        <v>0</v>
      </c>
      <c r="U64" s="55">
        <v>0</v>
      </c>
      <c r="V64" s="55">
        <v>0</v>
      </c>
      <c r="W64" s="55">
        <v>0</v>
      </c>
      <c r="X64" s="55">
        <v>0</v>
      </c>
      <c r="Y64" s="55">
        <v>0</v>
      </c>
      <c r="Z64" s="55">
        <v>100</v>
      </c>
      <c r="AA64" s="55">
        <v>0</v>
      </c>
      <c r="AB64" s="619">
        <v>100</v>
      </c>
      <c r="AC64" s="730" t="s">
        <v>199</v>
      </c>
      <c r="AD64" s="722" t="s">
        <v>190</v>
      </c>
      <c r="AE64" s="55" t="s">
        <v>146</v>
      </c>
      <c r="AF64" s="55" t="s">
        <v>142</v>
      </c>
      <c r="AG64" s="55" t="s">
        <v>142</v>
      </c>
      <c r="AH64" s="55">
        <v>1</v>
      </c>
      <c r="AI64" s="55">
        <v>100</v>
      </c>
      <c r="AJ64" s="723">
        <f>SUM(Sheet_1_Table_1_134[[#This Row],[ILP Units Per Session]]*Sheet_1_Table_1_134[[#This Row],[Quota]])</f>
        <v>100</v>
      </c>
      <c r="AK64" s="771">
        <v>46294</v>
      </c>
      <c r="AL64" s="64">
        <f>WEEKDAY(Sheet_1_Table_1_134[[#This Row],[Lesson 1 
Date 
(DD-MMM-YYYY)]])</f>
        <v>3</v>
      </c>
      <c r="AM64" s="562">
        <v>0.625</v>
      </c>
      <c r="AN64" s="563">
        <v>0.66666666666666663</v>
      </c>
      <c r="AO64" s="736" t="s">
        <v>737</v>
      </c>
      <c r="AP64" s="565"/>
      <c r="AQ64" s="64" t="e">
        <f>WEEKDAY([7]!Sheet_1_Table_1_13[[#This Row],[Lesson 2
Date 
(DD-MMM-YYYY)]])</f>
        <v>#REF!</v>
      </c>
      <c r="AR64" s="65"/>
      <c r="AS64" s="66"/>
      <c r="AT64" s="126"/>
      <c r="AU64" s="63"/>
      <c r="AV64" s="64" t="e">
        <f>WEEKDAY([7]!Sheet_1_Table_1_13[[#This Row],[Lesson 3
Date 
(DD-MMM-YYYY)]])</f>
        <v>#REF!</v>
      </c>
      <c r="AW64" s="65"/>
      <c r="AX64" s="66"/>
      <c r="AY64" s="126"/>
      <c r="AZ64" s="98"/>
      <c r="BA64" s="64" t="e">
        <f>WEEKDAY([7]!Sheet_1_Table_1_13[[#This Row],[Lesson 4
Date 
(DD-MMM-YYYY)]])</f>
        <v>#REF!</v>
      </c>
      <c r="BB64" s="65"/>
      <c r="BC64" s="66"/>
      <c r="BD64" s="126"/>
      <c r="BE64" s="63"/>
      <c r="BF64" s="64" t="e">
        <f>WEEKDAY([7]!Sheet_1_Table_1_13[[#This Row],[Lesson 5
Date 
(DD-MMM-YYYY)]])</f>
        <v>#REF!</v>
      </c>
      <c r="BG64" s="65"/>
      <c r="BH64" s="66"/>
      <c r="BI64" s="126"/>
      <c r="BJ64" s="98"/>
      <c r="BK64" s="64" t="e">
        <f>WEEKDAY([7]!Sheet_1_Table_1_13[[#This Row],[Lesson 6
Date 
(DD-MMM-YYYY)]])</f>
        <v>#REF!</v>
      </c>
      <c r="BL64" s="65"/>
      <c r="BM64" s="66"/>
      <c r="BN64" s="99"/>
      <c r="BO64" s="727" t="s">
        <v>738</v>
      </c>
      <c r="BP64" s="69" t="s">
        <v>750</v>
      </c>
      <c r="BQ64" s="56" t="s">
        <v>751</v>
      </c>
      <c r="BR64" s="57" t="s">
        <v>752</v>
      </c>
      <c r="BS64" s="54"/>
      <c r="BT64" s="56"/>
      <c r="BU64" s="56"/>
      <c r="BV64" s="57"/>
      <c r="BW64" s="60"/>
      <c r="BX64" s="195"/>
      <c r="BY64" s="56" t="s">
        <v>149</v>
      </c>
      <c r="BZ64" s="56"/>
      <c r="CA64" s="56" t="s">
        <v>149</v>
      </c>
      <c r="CB64" s="72"/>
      <c r="CC64" s="72"/>
      <c r="CD64" s="72"/>
      <c r="CE64" s="726" t="s">
        <v>742</v>
      </c>
      <c r="CF64" s="517" t="s">
        <v>743</v>
      </c>
      <c r="CG64" s="731" t="s">
        <v>744</v>
      </c>
      <c r="CH64" s="613" t="s">
        <v>745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row>
    <row r="65" spans="2:117" ht="105">
      <c r="B65" s="49">
        <v>202609</v>
      </c>
      <c r="C65" s="50" t="s">
        <v>753</v>
      </c>
      <c r="D65" s="50" t="s">
        <v>133</v>
      </c>
      <c r="E65" s="51">
        <v>5804</v>
      </c>
      <c r="F65" s="54" t="s">
        <v>733</v>
      </c>
      <c r="G65" s="53"/>
      <c r="H65" s="95"/>
      <c r="I65" s="84"/>
      <c r="J65" s="60"/>
      <c r="K65" s="54" t="s">
        <v>754</v>
      </c>
      <c r="L65" s="53"/>
      <c r="M65" s="56" t="s">
        <v>755</v>
      </c>
      <c r="N65" s="57" t="s">
        <v>756</v>
      </c>
      <c r="O65" s="230" t="s">
        <v>142</v>
      </c>
      <c r="P65" s="96" t="s">
        <v>142</v>
      </c>
      <c r="Q65" s="60" t="s">
        <v>352</v>
      </c>
      <c r="R65" s="202" t="e">
        <f>VLOOKUP([7]!Sheet_1_Table_1_13[[#This Row],[Learning Domain]],[7]List!$A$7:$B$12,2,0)</f>
        <v>#REF!</v>
      </c>
      <c r="S65" s="55">
        <v>0</v>
      </c>
      <c r="T65" s="55">
        <v>0</v>
      </c>
      <c r="U65" s="55">
        <v>0</v>
      </c>
      <c r="V65" s="55">
        <v>0</v>
      </c>
      <c r="W65" s="55">
        <v>0</v>
      </c>
      <c r="X65" s="55">
        <v>0</v>
      </c>
      <c r="Y65" s="55">
        <v>0</v>
      </c>
      <c r="Z65" s="55">
        <v>100</v>
      </c>
      <c r="AA65" s="55">
        <v>0</v>
      </c>
      <c r="AB65" s="619">
        <v>100</v>
      </c>
      <c r="AC65" s="730" t="s">
        <v>199</v>
      </c>
      <c r="AD65" s="722" t="s">
        <v>190</v>
      </c>
      <c r="AE65" s="55" t="s">
        <v>146</v>
      </c>
      <c r="AF65" s="55" t="s">
        <v>142</v>
      </c>
      <c r="AG65" s="55" t="s">
        <v>142</v>
      </c>
      <c r="AH65" s="55">
        <v>1</v>
      </c>
      <c r="AI65" s="55">
        <v>100</v>
      </c>
      <c r="AJ65" s="723">
        <f>SUM(Sheet_1_Table_1_134[[#This Row],[ILP Units Per Session]]*Sheet_1_Table_1_134[[#This Row],[Quota]])</f>
        <v>100</v>
      </c>
      <c r="AK65" s="771">
        <v>46308</v>
      </c>
      <c r="AL65" s="64">
        <f>WEEKDAY(Sheet_1_Table_1_134[[#This Row],[Lesson 1 
Date 
(DD-MMM-YYYY)]])</f>
        <v>3</v>
      </c>
      <c r="AM65" s="562">
        <v>0.66666666666666663</v>
      </c>
      <c r="AN65" s="563">
        <v>0.70833333333333337</v>
      </c>
      <c r="AO65" s="736" t="s">
        <v>737</v>
      </c>
      <c r="AP65" s="565"/>
      <c r="AQ65" s="64" t="e">
        <f>WEEKDAY([7]!Sheet_1_Table_1_13[[#This Row],[Lesson 2
Date 
(DD-MMM-YYYY)]])</f>
        <v>#REF!</v>
      </c>
      <c r="AR65" s="65"/>
      <c r="AS65" s="66"/>
      <c r="AT65" s="126"/>
      <c r="AU65" s="63"/>
      <c r="AV65" s="64" t="e">
        <f>WEEKDAY([7]!Sheet_1_Table_1_13[[#This Row],[Lesson 3
Date 
(DD-MMM-YYYY)]])</f>
        <v>#REF!</v>
      </c>
      <c r="AW65" s="65"/>
      <c r="AX65" s="66"/>
      <c r="AY65" s="126"/>
      <c r="AZ65" s="98"/>
      <c r="BA65" s="64" t="e">
        <f>WEEKDAY([7]!Sheet_1_Table_1_13[[#This Row],[Lesson 4
Date 
(DD-MMM-YYYY)]])</f>
        <v>#REF!</v>
      </c>
      <c r="BB65" s="65"/>
      <c r="BC65" s="66"/>
      <c r="BD65" s="126"/>
      <c r="BE65" s="63"/>
      <c r="BF65" s="64" t="e">
        <f>WEEKDAY([7]!Sheet_1_Table_1_13[[#This Row],[Lesson 5
Date 
(DD-MMM-YYYY)]])</f>
        <v>#REF!</v>
      </c>
      <c r="BG65" s="65"/>
      <c r="BH65" s="66"/>
      <c r="BI65" s="126"/>
      <c r="BJ65" s="98"/>
      <c r="BK65" s="64" t="e">
        <f>WEEKDAY([7]!Sheet_1_Table_1_13[[#This Row],[Lesson 6
Date 
(DD-MMM-YYYY)]])</f>
        <v>#REF!</v>
      </c>
      <c r="BL65" s="65"/>
      <c r="BM65" s="66"/>
      <c r="BN65" s="99"/>
      <c r="BO65" s="727" t="s">
        <v>738</v>
      </c>
      <c r="BP65" s="69" t="s">
        <v>750</v>
      </c>
      <c r="BQ65" s="56" t="s">
        <v>751</v>
      </c>
      <c r="BR65" s="57" t="s">
        <v>752</v>
      </c>
      <c r="BS65" s="54"/>
      <c r="BT65" s="56"/>
      <c r="BU65" s="56"/>
      <c r="BV65" s="57"/>
      <c r="BW65" s="60"/>
      <c r="BX65" s="195"/>
      <c r="BY65" s="56" t="s">
        <v>149</v>
      </c>
      <c r="BZ65" s="56"/>
      <c r="CA65" s="56" t="s">
        <v>149</v>
      </c>
      <c r="CB65" s="72"/>
      <c r="CC65" s="72"/>
      <c r="CD65" s="72"/>
      <c r="CE65" s="726" t="s">
        <v>742</v>
      </c>
      <c r="CF65" s="517" t="s">
        <v>743</v>
      </c>
      <c r="CG65" s="731" t="s">
        <v>744</v>
      </c>
      <c r="CH65" s="613" t="s">
        <v>745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row>
    <row r="66" spans="2:117" ht="135">
      <c r="B66" s="49">
        <v>202609</v>
      </c>
      <c r="C66" s="50" t="s">
        <v>757</v>
      </c>
      <c r="D66" s="50" t="s">
        <v>133</v>
      </c>
      <c r="E66" s="51">
        <v>5805</v>
      </c>
      <c r="F66" s="54" t="s">
        <v>733</v>
      </c>
      <c r="G66" s="53"/>
      <c r="H66" s="95"/>
      <c r="I66" s="84"/>
      <c r="J66" s="54" t="s">
        <v>758</v>
      </c>
      <c r="K66" s="54" t="s">
        <v>759</v>
      </c>
      <c r="L66" s="53"/>
      <c r="M66" s="56" t="s">
        <v>760</v>
      </c>
      <c r="N66" s="57" t="s">
        <v>761</v>
      </c>
      <c r="O66" s="230" t="s">
        <v>142</v>
      </c>
      <c r="P66" s="96" t="s">
        <v>142</v>
      </c>
      <c r="Q66" s="60" t="s">
        <v>352</v>
      </c>
      <c r="R66" s="202" t="e">
        <f>VLOOKUP([7]!Sheet_1_Table_1_13[[#This Row],[Learning Domain]],[7]List!$A$7:$B$12,2,0)</f>
        <v>#REF!</v>
      </c>
      <c r="S66" s="55">
        <v>0</v>
      </c>
      <c r="T66" s="55">
        <v>0</v>
      </c>
      <c r="U66" s="55">
        <v>0</v>
      </c>
      <c r="V66" s="55">
        <v>0</v>
      </c>
      <c r="W66" s="55">
        <v>0</v>
      </c>
      <c r="X66" s="55">
        <v>0</v>
      </c>
      <c r="Y66" s="55">
        <v>0</v>
      </c>
      <c r="Z66" s="55">
        <v>100</v>
      </c>
      <c r="AA66" s="55">
        <v>0</v>
      </c>
      <c r="AB66" s="619">
        <v>100</v>
      </c>
      <c r="AC66" s="730" t="s">
        <v>199</v>
      </c>
      <c r="AD66" s="722" t="s">
        <v>190</v>
      </c>
      <c r="AE66" s="55" t="s">
        <v>142</v>
      </c>
      <c r="AF66" s="55" t="s">
        <v>142</v>
      </c>
      <c r="AG66" s="55" t="s">
        <v>146</v>
      </c>
      <c r="AH66" s="55">
        <v>1.5</v>
      </c>
      <c r="AI66" s="55">
        <v>100</v>
      </c>
      <c r="AJ66" s="723">
        <f>SUM(Sheet_1_Table_1_134[[#This Row],[ILP Units Per Session]]*Sheet_1_Table_1_134[[#This Row],[Quota]])</f>
        <v>150</v>
      </c>
      <c r="AK66" s="771">
        <v>46317</v>
      </c>
      <c r="AL66" s="64">
        <f>WEEKDAY(Sheet_1_Table_1_134[[#This Row],[Lesson 1 
Date 
(DD-MMM-YYYY)]])</f>
        <v>5</v>
      </c>
      <c r="AM66" s="562">
        <v>0.64583333333333337</v>
      </c>
      <c r="AN66" s="563">
        <v>0.70833333333333337</v>
      </c>
      <c r="AO66" s="736" t="s">
        <v>737</v>
      </c>
      <c r="AP66" s="565"/>
      <c r="AQ66" s="64" t="e">
        <f>WEEKDAY([7]!Sheet_1_Table_1_13[[#This Row],[Lesson 2
Date 
(DD-MMM-YYYY)]])</f>
        <v>#REF!</v>
      </c>
      <c r="AR66" s="65"/>
      <c r="AS66" s="66"/>
      <c r="AT66" s="126"/>
      <c r="AU66" s="63"/>
      <c r="AV66" s="64" t="e">
        <f>WEEKDAY([7]!Sheet_1_Table_1_13[[#This Row],[Lesson 3
Date 
(DD-MMM-YYYY)]])</f>
        <v>#REF!</v>
      </c>
      <c r="AW66" s="65"/>
      <c r="AX66" s="66"/>
      <c r="AY66" s="126"/>
      <c r="AZ66" s="98"/>
      <c r="BA66" s="64" t="e">
        <f>WEEKDAY([7]!Sheet_1_Table_1_13[[#This Row],[Lesson 4
Date 
(DD-MMM-YYYY)]])</f>
        <v>#REF!</v>
      </c>
      <c r="BB66" s="65"/>
      <c r="BC66" s="66"/>
      <c r="BD66" s="126"/>
      <c r="BE66" s="63"/>
      <c r="BF66" s="64" t="e">
        <f>WEEKDAY([7]!Sheet_1_Table_1_13[[#This Row],[Lesson 5
Date 
(DD-MMM-YYYY)]])</f>
        <v>#REF!</v>
      </c>
      <c r="BG66" s="65"/>
      <c r="BH66" s="66"/>
      <c r="BI66" s="126"/>
      <c r="BJ66" s="98"/>
      <c r="BK66" s="64" t="e">
        <f>WEEKDAY([7]!Sheet_1_Table_1_13[[#This Row],[Lesson 6
Date 
(DD-MMM-YYYY)]])</f>
        <v>#REF!</v>
      </c>
      <c r="BL66" s="65"/>
      <c r="BM66" s="66"/>
      <c r="BN66" s="99"/>
      <c r="BO66" s="727" t="s">
        <v>291</v>
      </c>
      <c r="BP66" s="69" t="s">
        <v>762</v>
      </c>
      <c r="BQ66" s="56" t="s">
        <v>440</v>
      </c>
      <c r="BR66" s="721" t="s">
        <v>763</v>
      </c>
      <c r="BS66" s="727" t="s">
        <v>738</v>
      </c>
      <c r="BT66" s="56" t="s">
        <v>764</v>
      </c>
      <c r="BU66" s="56" t="s">
        <v>765</v>
      </c>
      <c r="BV66" s="125" t="s">
        <v>766</v>
      </c>
      <c r="BW66" s="60"/>
      <c r="BX66" s="195"/>
      <c r="BY66" s="56" t="s">
        <v>184</v>
      </c>
      <c r="BZ66" s="56"/>
      <c r="CA66" s="56" t="s">
        <v>184</v>
      </c>
      <c r="CB66" s="72"/>
      <c r="CC66" s="72"/>
      <c r="CD66" s="72"/>
      <c r="CE66" s="726" t="s">
        <v>742</v>
      </c>
      <c r="CF66" s="517" t="s">
        <v>743</v>
      </c>
      <c r="CG66" s="731" t="s">
        <v>744</v>
      </c>
      <c r="CH66" s="613" t="s">
        <v>745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row>
    <row r="67" spans="2:117" ht="105">
      <c r="B67" s="49">
        <v>202609</v>
      </c>
      <c r="C67" s="50" t="s">
        <v>767</v>
      </c>
      <c r="D67" s="50" t="s">
        <v>133</v>
      </c>
      <c r="E67" s="51">
        <v>5806</v>
      </c>
      <c r="F67" s="54" t="s">
        <v>733</v>
      </c>
      <c r="G67" s="53"/>
      <c r="H67" s="95"/>
      <c r="I67" s="84"/>
      <c r="J67" s="60"/>
      <c r="K67" s="54" t="s">
        <v>768</v>
      </c>
      <c r="L67" s="53"/>
      <c r="M67" s="56" t="s">
        <v>769</v>
      </c>
      <c r="N67" s="57" t="s">
        <v>770</v>
      </c>
      <c r="O67" s="230" t="s">
        <v>142</v>
      </c>
      <c r="P67" s="96" t="s">
        <v>142</v>
      </c>
      <c r="Q67" s="60" t="s">
        <v>352</v>
      </c>
      <c r="R67" s="202" t="e">
        <f>VLOOKUP([7]!Sheet_1_Table_1_13[[#This Row],[Learning Domain]],[7]List!$A$7:$B$12,2,0)</f>
        <v>#REF!</v>
      </c>
      <c r="S67" s="55">
        <v>0</v>
      </c>
      <c r="T67" s="55">
        <v>0</v>
      </c>
      <c r="U67" s="55">
        <v>0</v>
      </c>
      <c r="V67" s="55">
        <v>0</v>
      </c>
      <c r="W67" s="55">
        <v>0</v>
      </c>
      <c r="X67" s="55">
        <v>0</v>
      </c>
      <c r="Y67" s="55">
        <v>0</v>
      </c>
      <c r="Z67" s="55">
        <v>100</v>
      </c>
      <c r="AA67" s="55">
        <v>0</v>
      </c>
      <c r="AB67" s="619">
        <v>100</v>
      </c>
      <c r="AC67" s="730" t="s">
        <v>199</v>
      </c>
      <c r="AD67" s="722" t="s">
        <v>190</v>
      </c>
      <c r="AE67" s="55" t="s">
        <v>146</v>
      </c>
      <c r="AF67" s="55" t="s">
        <v>142</v>
      </c>
      <c r="AG67" s="55" t="s">
        <v>142</v>
      </c>
      <c r="AH67" s="55">
        <v>1</v>
      </c>
      <c r="AI67" s="55">
        <v>100</v>
      </c>
      <c r="AJ67" s="723">
        <f>SUM(Sheet_1_Table_1_134[[#This Row],[ILP Units Per Session]]*Sheet_1_Table_1_134[[#This Row],[Quota]])</f>
        <v>100</v>
      </c>
      <c r="AK67" s="771">
        <v>46331</v>
      </c>
      <c r="AL67" s="64">
        <f>WEEKDAY(Sheet_1_Table_1_134[[#This Row],[Lesson 1 
Date 
(DD-MMM-YYYY)]])</f>
        <v>5</v>
      </c>
      <c r="AM67" s="562">
        <v>0.66666666666666663</v>
      </c>
      <c r="AN67" s="563">
        <v>0.70833333333333337</v>
      </c>
      <c r="AO67" s="736" t="s">
        <v>737</v>
      </c>
      <c r="AP67" s="565"/>
      <c r="AQ67" s="64" t="e">
        <f>WEEKDAY([7]!Sheet_1_Table_1_13[[#This Row],[Lesson 2
Date 
(DD-MMM-YYYY)]])</f>
        <v>#REF!</v>
      </c>
      <c r="AR67" s="65"/>
      <c r="AS67" s="66"/>
      <c r="AT67" s="126"/>
      <c r="AU67" s="63"/>
      <c r="AV67" s="64" t="e">
        <f>WEEKDAY([7]!Sheet_1_Table_1_13[[#This Row],[Lesson 3
Date 
(DD-MMM-YYYY)]])</f>
        <v>#REF!</v>
      </c>
      <c r="AW67" s="65"/>
      <c r="AX67" s="66"/>
      <c r="AY67" s="126"/>
      <c r="AZ67" s="98"/>
      <c r="BA67" s="64" t="e">
        <f>WEEKDAY([7]!Sheet_1_Table_1_13[[#This Row],[Lesson 4
Date 
(DD-MMM-YYYY)]])</f>
        <v>#REF!</v>
      </c>
      <c r="BB67" s="65"/>
      <c r="BC67" s="66"/>
      <c r="BD67" s="126"/>
      <c r="BE67" s="63"/>
      <c r="BF67" s="64" t="e">
        <f>WEEKDAY([7]!Sheet_1_Table_1_13[[#This Row],[Lesson 5
Date 
(DD-MMM-YYYY)]])</f>
        <v>#REF!</v>
      </c>
      <c r="BG67" s="65"/>
      <c r="BH67" s="66"/>
      <c r="BI67" s="126"/>
      <c r="BJ67" s="98"/>
      <c r="BK67" s="64" t="e">
        <f>WEEKDAY([7]!Sheet_1_Table_1_13[[#This Row],[Lesson 6
Date 
(DD-MMM-YYYY)]])</f>
        <v>#REF!</v>
      </c>
      <c r="BL67" s="65"/>
      <c r="BM67" s="66"/>
      <c r="BN67" s="99"/>
      <c r="BO67" s="727" t="s">
        <v>738</v>
      </c>
      <c r="BP67" s="69" t="s">
        <v>764</v>
      </c>
      <c r="BQ67" s="56" t="s">
        <v>765</v>
      </c>
      <c r="BR67" s="125" t="s">
        <v>766</v>
      </c>
      <c r="BS67" s="54"/>
      <c r="BT67" s="56"/>
      <c r="BU67" s="56"/>
      <c r="BV67" s="57"/>
      <c r="BW67" s="60"/>
      <c r="BX67" s="195"/>
      <c r="BY67" s="56"/>
      <c r="BZ67" s="56"/>
      <c r="CA67" s="56"/>
      <c r="CB67" s="72"/>
      <c r="CC67" s="72"/>
      <c r="CD67" s="72"/>
      <c r="CE67" s="726" t="s">
        <v>742</v>
      </c>
      <c r="CF67" s="517" t="s">
        <v>743</v>
      </c>
      <c r="CG67" s="731" t="s">
        <v>744</v>
      </c>
      <c r="CH67" s="613" t="s">
        <v>745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row>
    <row r="68" spans="2:117" ht="150">
      <c r="B68" s="589">
        <v>202609</v>
      </c>
      <c r="C68" s="587" t="s">
        <v>771</v>
      </c>
      <c r="D68" s="587" t="s">
        <v>133</v>
      </c>
      <c r="E68" s="591">
        <v>5807</v>
      </c>
      <c r="F68" s="586" t="s">
        <v>733</v>
      </c>
      <c r="G68" s="605"/>
      <c r="H68" s="307"/>
      <c r="I68" s="311"/>
      <c r="J68" s="568"/>
      <c r="K68" s="586" t="s">
        <v>772</v>
      </c>
      <c r="L68" s="605"/>
      <c r="M68" s="570" t="s">
        <v>773</v>
      </c>
      <c r="N68" s="308" t="s">
        <v>774</v>
      </c>
      <c r="O68" s="635" t="s">
        <v>142</v>
      </c>
      <c r="P68" s="585" t="s">
        <v>142</v>
      </c>
      <c r="Q68" s="568" t="s">
        <v>352</v>
      </c>
      <c r="R68" s="636" t="e">
        <f>VLOOKUP([7]!Sheet_1_Table_1_13[[#This Row],[Learning Domain]],[7]List!$A$7:$B$12,2,0)</f>
        <v>#REF!</v>
      </c>
      <c r="S68" s="572">
        <v>0</v>
      </c>
      <c r="T68" s="572">
        <v>0</v>
      </c>
      <c r="U68" s="572">
        <v>0</v>
      </c>
      <c r="V68" s="572">
        <v>0</v>
      </c>
      <c r="W68" s="572">
        <v>0</v>
      </c>
      <c r="X68" s="572">
        <v>0</v>
      </c>
      <c r="Y68" s="572">
        <v>0</v>
      </c>
      <c r="Z68" s="572">
        <v>100</v>
      </c>
      <c r="AA68" s="572">
        <v>0</v>
      </c>
      <c r="AB68" s="619">
        <v>100</v>
      </c>
      <c r="AC68" s="757" t="s">
        <v>199</v>
      </c>
      <c r="AD68" s="758" t="s">
        <v>190</v>
      </c>
      <c r="AE68" s="572" t="s">
        <v>146</v>
      </c>
      <c r="AF68" s="572" t="s">
        <v>142</v>
      </c>
      <c r="AG68" s="572" t="s">
        <v>142</v>
      </c>
      <c r="AH68" s="572">
        <v>1</v>
      </c>
      <c r="AI68" s="572">
        <v>100</v>
      </c>
      <c r="AJ68" s="723">
        <f>SUM(Sheet_1_Table_1_134[[#This Row],[ILP Units Per Session]]*Sheet_1_Table_1_134[[#This Row],[Quota]])</f>
        <v>100</v>
      </c>
      <c r="AK68" s="771">
        <v>46310</v>
      </c>
      <c r="AL68" s="64">
        <f>WEEKDAY(Sheet_1_Table_1_134[[#This Row],[Lesson 1 
Date 
(DD-MMM-YYYY)]])</f>
        <v>5</v>
      </c>
      <c r="AM68" s="772">
        <v>0.60416666666666663</v>
      </c>
      <c r="AN68" s="621">
        <v>0.64583333333333337</v>
      </c>
      <c r="AO68" s="759" t="s">
        <v>737</v>
      </c>
      <c r="AP68" s="595"/>
      <c r="AQ68" s="596" t="e">
        <f>WEEKDAY([7]!Sheet_1_Table_1_13[[#This Row],[Lesson 2
Date 
(DD-MMM-YYYY)]])</f>
        <v>#REF!</v>
      </c>
      <c r="AR68" s="575"/>
      <c r="AS68" s="593"/>
      <c r="AT68" s="594"/>
      <c r="AU68" s="592"/>
      <c r="AV68" s="596" t="e">
        <f>WEEKDAY([7]!Sheet_1_Table_1_13[[#This Row],[Lesson 3
Date 
(DD-MMM-YYYY)]])</f>
        <v>#REF!</v>
      </c>
      <c r="AW68" s="575"/>
      <c r="AX68" s="593"/>
      <c r="AY68" s="594"/>
      <c r="AZ68" s="597"/>
      <c r="BA68" s="596" t="e">
        <f>WEEKDAY([7]!Sheet_1_Table_1_13[[#This Row],[Lesson 4
Date 
(DD-MMM-YYYY)]])</f>
        <v>#REF!</v>
      </c>
      <c r="BB68" s="575"/>
      <c r="BC68" s="593"/>
      <c r="BD68" s="594"/>
      <c r="BE68" s="592"/>
      <c r="BF68" s="596" t="e">
        <f>WEEKDAY([7]!Sheet_1_Table_1_13[[#This Row],[Lesson 5
Date 
(DD-MMM-YYYY)]])</f>
        <v>#REF!</v>
      </c>
      <c r="BG68" s="575"/>
      <c r="BH68" s="593"/>
      <c r="BI68" s="594"/>
      <c r="BJ68" s="597"/>
      <c r="BK68" s="596" t="e">
        <f>WEEKDAY([7]!Sheet_1_Table_1_13[[#This Row],[Lesson 6
Date 
(DD-MMM-YYYY)]])</f>
        <v>#REF!</v>
      </c>
      <c r="BL68" s="575"/>
      <c r="BM68" s="593"/>
      <c r="BN68" s="598"/>
      <c r="BO68" s="760" t="s">
        <v>738</v>
      </c>
      <c r="BP68" s="569" t="s">
        <v>764</v>
      </c>
      <c r="BQ68" s="570" t="s">
        <v>765</v>
      </c>
      <c r="BR68" s="761" t="s">
        <v>766</v>
      </c>
      <c r="BS68" s="586"/>
      <c r="BT68" s="570"/>
      <c r="BU68" s="570"/>
      <c r="BV68" s="308"/>
      <c r="BW68" s="568"/>
      <c r="BX68" s="625"/>
      <c r="BY68" s="570" t="s">
        <v>184</v>
      </c>
      <c r="BZ68" s="570"/>
      <c r="CA68" s="570" t="s">
        <v>184</v>
      </c>
      <c r="CB68" s="600"/>
      <c r="CC68" s="600"/>
      <c r="CD68" s="600"/>
      <c r="CE68" s="762" t="s">
        <v>742</v>
      </c>
      <c r="CF68" s="582" t="s">
        <v>743</v>
      </c>
      <c r="CG68" s="763" t="s">
        <v>744</v>
      </c>
      <c r="CH68" s="626" t="s">
        <v>745</v>
      </c>
      <c r="CI68" s="572" t="s">
        <v>142</v>
      </c>
      <c r="CJ68" s="572" t="s">
        <v>142</v>
      </c>
      <c r="CK68" s="572" t="s">
        <v>142</v>
      </c>
      <c r="CL68" s="572" t="s">
        <v>142</v>
      </c>
      <c r="CM68" s="572" t="s">
        <v>142</v>
      </c>
      <c r="CN68" s="572" t="s">
        <v>142</v>
      </c>
      <c r="CO68" s="572" t="s">
        <v>142</v>
      </c>
      <c r="CP68" s="572" t="s">
        <v>142</v>
      </c>
      <c r="CQ68" s="572" t="s">
        <v>142</v>
      </c>
      <c r="CR68" s="572" t="s">
        <v>142</v>
      </c>
      <c r="CS68" s="572" t="s">
        <v>142</v>
      </c>
      <c r="CT68" s="572" t="s">
        <v>142</v>
      </c>
      <c r="CU68" s="572" t="s">
        <v>142</v>
      </c>
      <c r="CV68" s="572" t="s">
        <v>142</v>
      </c>
      <c r="CW68" s="572" t="s">
        <v>142</v>
      </c>
      <c r="CX68" s="572" t="s">
        <v>142</v>
      </c>
      <c r="CY68" s="572" t="s">
        <v>142</v>
      </c>
      <c r="CZ68" s="585" t="s">
        <v>142</v>
      </c>
      <c r="DA68" s="586" t="s">
        <v>154</v>
      </c>
      <c r="DB68" s="587" t="s">
        <v>155</v>
      </c>
      <c r="DC68" s="587" t="s">
        <v>156</v>
      </c>
      <c r="DD68" s="587" t="s">
        <v>146</v>
      </c>
      <c r="DE68" s="587" t="s">
        <v>157</v>
      </c>
      <c r="DF68" s="587" t="s">
        <v>146</v>
      </c>
      <c r="DG68" s="588"/>
      <c r="DH68" s="588"/>
      <c r="DI68" s="588"/>
      <c r="DJ68" s="588"/>
      <c r="DK68" s="76" t="s">
        <v>146</v>
      </c>
      <c r="DL68" s="76" t="s">
        <v>146</v>
      </c>
      <c r="DM68" s="76" t="s">
        <v>146</v>
      </c>
    </row>
    <row r="69" spans="2:117" ht="150">
      <c r="B69" s="589">
        <v>202609</v>
      </c>
      <c r="C69" s="587" t="s">
        <v>775</v>
      </c>
      <c r="D69" s="587" t="s">
        <v>133</v>
      </c>
      <c r="E69" s="591">
        <v>5904</v>
      </c>
      <c r="F69" s="586" t="s">
        <v>324</v>
      </c>
      <c r="G69" s="605" t="s">
        <v>157</v>
      </c>
      <c r="H69" s="307"/>
      <c r="I69" s="311"/>
      <c r="J69" s="568" t="s">
        <v>776</v>
      </c>
      <c r="K69" s="586" t="s">
        <v>777</v>
      </c>
      <c r="L69" s="605"/>
      <c r="M69" s="570" t="s">
        <v>778</v>
      </c>
      <c r="N69" s="308" t="s">
        <v>779</v>
      </c>
      <c r="O69" s="635" t="s">
        <v>142</v>
      </c>
      <c r="P69" s="585" t="s">
        <v>142</v>
      </c>
      <c r="Q69" s="568" t="s">
        <v>352</v>
      </c>
      <c r="R69" s="636" t="e">
        <f>VLOOKUP([8]!Sheet_1_Table_1_13[[#This Row],[Learning Domain]],[8]List!$A$7:$B$12,2,0)</f>
        <v>#REF!</v>
      </c>
      <c r="S69" s="572">
        <v>0</v>
      </c>
      <c r="T69" s="572">
        <v>0</v>
      </c>
      <c r="U69" s="572">
        <v>0</v>
      </c>
      <c r="V69" s="572">
        <v>0</v>
      </c>
      <c r="W69" s="572">
        <v>0</v>
      </c>
      <c r="X69" s="572">
        <v>0</v>
      </c>
      <c r="Y69" s="572">
        <v>100</v>
      </c>
      <c r="Z69" s="572">
        <v>0</v>
      </c>
      <c r="AA69" s="572">
        <v>0</v>
      </c>
      <c r="AB69" s="619">
        <v>100</v>
      </c>
      <c r="AC69" s="305" t="s">
        <v>244</v>
      </c>
      <c r="AD69" s="572" t="s">
        <v>190</v>
      </c>
      <c r="AE69" s="572" t="s">
        <v>142</v>
      </c>
      <c r="AF69" s="572" t="s">
        <v>146</v>
      </c>
      <c r="AG69" s="572" t="s">
        <v>142</v>
      </c>
      <c r="AH69" s="572">
        <v>2</v>
      </c>
      <c r="AI69" s="572">
        <v>30</v>
      </c>
      <c r="AJ69" s="723">
        <f>SUM(Sheet_1_Table_1_134[[#This Row],[ILP Units Per Session]]*Sheet_1_Table_1_134[[#This Row],[Quota]])</f>
        <v>60</v>
      </c>
      <c r="AK69" s="771">
        <v>46354</v>
      </c>
      <c r="AL69" s="64">
        <f>WEEKDAY(Sheet_1_Table_1_134[[#This Row],[Lesson 1 
Date 
(DD-MMM-YYYY)]])</f>
        <v>7</v>
      </c>
      <c r="AM69" s="772">
        <v>0.42708333333333331</v>
      </c>
      <c r="AN69" s="621">
        <v>0.51041666666666663</v>
      </c>
      <c r="AO69" s="637" t="s">
        <v>780</v>
      </c>
      <c r="AP69" s="595"/>
      <c r="AQ69" s="596" t="e">
        <f>WEEKDAY([8]!Sheet_1_Table_1_13[[#This Row],[Lesson 2
Date 
(DD-MMM-YYYY)]])</f>
        <v>#REF!</v>
      </c>
      <c r="AR69" s="575"/>
      <c r="AS69" s="593"/>
      <c r="AT69" s="594"/>
      <c r="AU69" s="592"/>
      <c r="AV69" s="596" t="e">
        <f>WEEKDAY([8]!Sheet_1_Table_1_13[[#This Row],[Lesson 3
Date 
(DD-MMM-YYYY)]])</f>
        <v>#REF!</v>
      </c>
      <c r="AW69" s="575"/>
      <c r="AX69" s="593"/>
      <c r="AY69" s="594"/>
      <c r="AZ69" s="597"/>
      <c r="BA69" s="596" t="e">
        <f>WEEKDAY([8]!Sheet_1_Table_1_13[[#This Row],[Lesson 4
Date 
(DD-MMM-YYYY)]])</f>
        <v>#REF!</v>
      </c>
      <c r="BB69" s="575"/>
      <c r="BC69" s="593"/>
      <c r="BD69" s="594"/>
      <c r="BE69" s="592"/>
      <c r="BF69" s="596" t="e">
        <f>WEEKDAY([8]!Sheet_1_Table_1_13[[#This Row],[Lesson 5
Date 
(DD-MMM-YYYY)]])</f>
        <v>#REF!</v>
      </c>
      <c r="BG69" s="575"/>
      <c r="BH69" s="593"/>
      <c r="BI69" s="594"/>
      <c r="BJ69" s="597"/>
      <c r="BK69" s="596" t="e">
        <f>WEEKDAY([8]!Sheet_1_Table_1_13[[#This Row],[Lesson 6
Date 
(DD-MMM-YYYY)]])</f>
        <v>#REF!</v>
      </c>
      <c r="BL69" s="575"/>
      <c r="BM69" s="593"/>
      <c r="BN69" s="598"/>
      <c r="BO69" s="586"/>
      <c r="BP69" s="569" t="s">
        <v>781</v>
      </c>
      <c r="BQ69" s="570"/>
      <c r="BR69" s="308" t="s">
        <v>184</v>
      </c>
      <c r="BS69" s="586"/>
      <c r="BT69" s="570"/>
      <c r="BU69" s="570"/>
      <c r="BV69" s="308"/>
      <c r="BW69" s="568">
        <v>0</v>
      </c>
      <c r="BX69" s="625">
        <v>100</v>
      </c>
      <c r="BY69" s="570">
        <v>0.42708333333333331</v>
      </c>
      <c r="BZ69" s="570" t="s">
        <v>782</v>
      </c>
      <c r="CA69" s="570" t="s">
        <v>783</v>
      </c>
      <c r="CB69" s="600"/>
      <c r="CC69" s="600"/>
      <c r="CD69" s="600"/>
      <c r="CE69" s="568" t="s">
        <v>338</v>
      </c>
      <c r="CF69" s="582" t="s">
        <v>339</v>
      </c>
      <c r="CG69" s="570" t="s">
        <v>340</v>
      </c>
      <c r="CH69" s="626" t="s">
        <v>341</v>
      </c>
      <c r="CI69" s="572" t="s">
        <v>146</v>
      </c>
      <c r="CJ69" s="572" t="s">
        <v>142</v>
      </c>
      <c r="CK69" s="572" t="s">
        <v>142</v>
      </c>
      <c r="CL69" s="572" t="s">
        <v>142</v>
      </c>
      <c r="CM69" s="572" t="s">
        <v>142</v>
      </c>
      <c r="CN69" s="572" t="s">
        <v>142</v>
      </c>
      <c r="CO69" s="572" t="s">
        <v>142</v>
      </c>
      <c r="CP69" s="572" t="s">
        <v>142</v>
      </c>
      <c r="CQ69" s="572" t="s">
        <v>142</v>
      </c>
      <c r="CR69" s="572" t="s">
        <v>142</v>
      </c>
      <c r="CS69" s="572" t="s">
        <v>142</v>
      </c>
      <c r="CT69" s="572" t="s">
        <v>146</v>
      </c>
      <c r="CU69" s="572" t="s">
        <v>142</v>
      </c>
      <c r="CV69" s="572" t="s">
        <v>142</v>
      </c>
      <c r="CW69" s="572" t="s">
        <v>146</v>
      </c>
      <c r="CX69" s="572" t="s">
        <v>142</v>
      </c>
      <c r="CY69" s="572" t="s">
        <v>142</v>
      </c>
      <c r="CZ69" s="585" t="s">
        <v>146</v>
      </c>
      <c r="DA69" s="586" t="s">
        <v>154</v>
      </c>
      <c r="DB69" s="587" t="s">
        <v>155</v>
      </c>
      <c r="DC69" s="587" t="s">
        <v>156</v>
      </c>
      <c r="DD69" s="587" t="s">
        <v>146</v>
      </c>
      <c r="DE69" s="587" t="s">
        <v>157</v>
      </c>
      <c r="DF69" s="587" t="s">
        <v>146</v>
      </c>
      <c r="DG69" s="588"/>
      <c r="DH69" s="588"/>
      <c r="DI69" s="588"/>
      <c r="DJ69" s="588"/>
      <c r="DK69" s="76" t="s">
        <v>146</v>
      </c>
      <c r="DL69" s="76" t="s">
        <v>146</v>
      </c>
      <c r="DM69" s="76" t="s">
        <v>146</v>
      </c>
    </row>
    <row r="70" spans="2:117" ht="135">
      <c r="B70" s="49">
        <v>202609</v>
      </c>
      <c r="C70" s="50" t="s">
        <v>784</v>
      </c>
      <c r="D70" s="50" t="s">
        <v>174</v>
      </c>
      <c r="E70" s="51">
        <v>5816</v>
      </c>
      <c r="F70" s="54" t="s">
        <v>785</v>
      </c>
      <c r="G70" s="53" t="s">
        <v>157</v>
      </c>
      <c r="H70" s="95" t="s">
        <v>786</v>
      </c>
      <c r="I70" s="84" t="s">
        <v>787</v>
      </c>
      <c r="J70" s="60"/>
      <c r="K70" s="54" t="s">
        <v>788</v>
      </c>
      <c r="L70" s="53"/>
      <c r="M70" s="56" t="s">
        <v>789</v>
      </c>
      <c r="N70" s="57" t="s">
        <v>790</v>
      </c>
      <c r="O70" s="230" t="s">
        <v>146</v>
      </c>
      <c r="P70" s="96" t="s">
        <v>146</v>
      </c>
      <c r="Q70" s="60" t="s">
        <v>352</v>
      </c>
      <c r="R70" s="202" t="e">
        <f>VLOOKUP([9]!Sheet_1_Table_1_13[[#This Row],[Learning Domain]],[9]List!$A$7:$B$12,2,0)</f>
        <v>#REF!</v>
      </c>
      <c r="S70" s="55">
        <v>20</v>
      </c>
      <c r="T70" s="55">
        <v>60</v>
      </c>
      <c r="U70" s="55">
        <v>0</v>
      </c>
      <c r="V70" s="55">
        <v>0</v>
      </c>
      <c r="W70" s="55">
        <v>0</v>
      </c>
      <c r="X70" s="55">
        <v>0</v>
      </c>
      <c r="Y70" s="55">
        <v>0</v>
      </c>
      <c r="Z70" s="55">
        <v>0</v>
      </c>
      <c r="AA70" s="55">
        <v>20</v>
      </c>
      <c r="AB70" s="619">
        <v>100</v>
      </c>
      <c r="AC70" s="97" t="s">
        <v>199</v>
      </c>
      <c r="AD70" s="55" t="s">
        <v>190</v>
      </c>
      <c r="AE70" s="55" t="s">
        <v>146</v>
      </c>
      <c r="AF70" s="55" t="s">
        <v>142</v>
      </c>
      <c r="AG70" s="55" t="s">
        <v>142</v>
      </c>
      <c r="AH70" s="55">
        <v>2</v>
      </c>
      <c r="AI70" s="55">
        <v>15</v>
      </c>
      <c r="AJ70" s="723">
        <f>SUM(Sheet_1_Table_1_134[[#This Row],[ILP Units Per Session]]*Sheet_1_Table_1_134[[#This Row],[Quota]])</f>
        <v>30</v>
      </c>
      <c r="AK70" s="771">
        <v>46302</v>
      </c>
      <c r="AL70" s="64">
        <f>WEEKDAY(Sheet_1_Table_1_134[[#This Row],[Lesson 1 
Date 
(DD-MMM-YYYY)]])</f>
        <v>4</v>
      </c>
      <c r="AM70" s="562">
        <v>0.77083333333333337</v>
      </c>
      <c r="AN70" s="563">
        <v>0.85416666666666663</v>
      </c>
      <c r="AO70" s="717" t="s">
        <v>791</v>
      </c>
      <c r="AP70" s="565"/>
      <c r="AQ70" s="64" t="e">
        <f>WEEKDAY([9]!Sheet_1_Table_1_13[[#This Row],[Lesson 2
Date 
(DD-MMM-YYYY)]])</f>
        <v>#REF!</v>
      </c>
      <c r="AR70" s="65"/>
      <c r="AS70" s="66"/>
      <c r="AT70" s="126"/>
      <c r="AU70" s="63"/>
      <c r="AV70" s="64" t="e">
        <f>WEEKDAY([9]!Sheet_1_Table_1_13[[#This Row],[Lesson 3
Date 
(DD-MMM-YYYY)]])</f>
        <v>#REF!</v>
      </c>
      <c r="AW70" s="65"/>
      <c r="AX70" s="66"/>
      <c r="AY70" s="126"/>
      <c r="AZ70" s="98"/>
      <c r="BA70" s="64" t="e">
        <f>WEEKDAY([9]!Sheet_1_Table_1_13[[#This Row],[Lesson 4
Date 
(DD-MMM-YYYY)]])</f>
        <v>#REF!</v>
      </c>
      <c r="BB70" s="65"/>
      <c r="BC70" s="66"/>
      <c r="BD70" s="126"/>
      <c r="BE70" s="63"/>
      <c r="BF70" s="64" t="e">
        <f>WEEKDAY([9]!Sheet_1_Table_1_13[[#This Row],[Lesson 5
Date 
(DD-MMM-YYYY)]])</f>
        <v>#REF!</v>
      </c>
      <c r="BG70" s="65"/>
      <c r="BH70" s="66"/>
      <c r="BI70" s="126"/>
      <c r="BJ70" s="98"/>
      <c r="BK70" s="64" t="e">
        <f>WEEKDAY([9]!Sheet_1_Table_1_13[[#This Row],[Lesson 6
Date 
(DD-MMM-YYYY)]])</f>
        <v>#REF!</v>
      </c>
      <c r="BL70" s="65"/>
      <c r="BM70" s="66"/>
      <c r="BN70" s="99"/>
      <c r="BO70" s="54" t="s">
        <v>163</v>
      </c>
      <c r="BP70" s="69" t="s">
        <v>792</v>
      </c>
      <c r="BQ70" s="56" t="s">
        <v>409</v>
      </c>
      <c r="BR70" s="57" t="s">
        <v>793</v>
      </c>
      <c r="BS70" s="54"/>
      <c r="BT70" s="56"/>
      <c r="BU70" s="56"/>
      <c r="BV70" s="57"/>
      <c r="BW70" s="60"/>
      <c r="BX70" s="195"/>
      <c r="BY70" s="56" t="s">
        <v>149</v>
      </c>
      <c r="BZ70" s="56"/>
      <c r="CA70" s="56" t="s">
        <v>149</v>
      </c>
      <c r="CB70" s="72"/>
      <c r="CC70" s="72"/>
      <c r="CD70" s="72"/>
      <c r="CE70" s="60" t="s">
        <v>794</v>
      </c>
      <c r="CF70" s="517" t="s">
        <v>795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row>
    <row r="71" spans="2:117" ht="105">
      <c r="B71" s="49">
        <v>202609</v>
      </c>
      <c r="C71" s="50" t="s">
        <v>796</v>
      </c>
      <c r="D71" s="50" t="s">
        <v>174</v>
      </c>
      <c r="E71" s="51">
        <v>5817</v>
      </c>
      <c r="F71" s="54" t="s">
        <v>785</v>
      </c>
      <c r="G71" s="53" t="s">
        <v>157</v>
      </c>
      <c r="H71" s="95" t="s">
        <v>786</v>
      </c>
      <c r="I71" s="84" t="s">
        <v>787</v>
      </c>
      <c r="J71" s="60"/>
      <c r="K71" s="54" t="s">
        <v>797</v>
      </c>
      <c r="L71" s="53"/>
      <c r="M71" s="56" t="s">
        <v>798</v>
      </c>
      <c r="N71" s="57" t="s">
        <v>799</v>
      </c>
      <c r="O71" s="230" t="s">
        <v>146</v>
      </c>
      <c r="P71" s="96" t="s">
        <v>146</v>
      </c>
      <c r="Q71" s="60" t="s">
        <v>352</v>
      </c>
      <c r="R71" s="202" t="e">
        <f>VLOOKUP([9]!Sheet_1_Table_1_13[[#This Row],[Learning Domain]],[9]List!$A$7:$B$12,2,0)</f>
        <v>#REF!</v>
      </c>
      <c r="S71" s="55">
        <v>0</v>
      </c>
      <c r="T71" s="55">
        <v>40</v>
      </c>
      <c r="U71" s="55">
        <v>0</v>
      </c>
      <c r="V71" s="55">
        <v>0</v>
      </c>
      <c r="W71" s="55">
        <v>0</v>
      </c>
      <c r="X71" s="55">
        <v>0</v>
      </c>
      <c r="Y71" s="55">
        <v>0</v>
      </c>
      <c r="Z71" s="55">
        <v>40</v>
      </c>
      <c r="AA71" s="55">
        <v>20</v>
      </c>
      <c r="AB71" s="619">
        <v>100</v>
      </c>
      <c r="AC71" s="97" t="s">
        <v>199</v>
      </c>
      <c r="AD71" s="55" t="s">
        <v>190</v>
      </c>
      <c r="AE71" s="55" t="s">
        <v>146</v>
      </c>
      <c r="AF71" s="55" t="s">
        <v>142</v>
      </c>
      <c r="AG71" s="55" t="s">
        <v>142</v>
      </c>
      <c r="AH71" s="55">
        <v>2</v>
      </c>
      <c r="AI71" s="55">
        <v>15</v>
      </c>
      <c r="AJ71" s="723">
        <f>SUM(Sheet_1_Table_1_134[[#This Row],[ILP Units Per Session]]*Sheet_1_Table_1_134[[#This Row],[Quota]])</f>
        <v>30</v>
      </c>
      <c r="AK71" s="771">
        <v>46316</v>
      </c>
      <c r="AL71" s="64">
        <f>WEEKDAY(Sheet_1_Table_1_134[[#This Row],[Lesson 1 
Date 
(DD-MMM-YYYY)]])</f>
        <v>4</v>
      </c>
      <c r="AM71" s="562">
        <v>0.77083333333333337</v>
      </c>
      <c r="AN71" s="563">
        <v>0.85416666666666663</v>
      </c>
      <c r="AO71" s="717" t="s">
        <v>791</v>
      </c>
      <c r="AP71" s="565"/>
      <c r="AQ71" s="64" t="e">
        <f>WEEKDAY([9]!Sheet_1_Table_1_13[[#This Row],[Lesson 2
Date 
(DD-MMM-YYYY)]])</f>
        <v>#REF!</v>
      </c>
      <c r="AR71" s="65"/>
      <c r="AS71" s="66"/>
      <c r="AT71" s="126"/>
      <c r="AU71" s="63"/>
      <c r="AV71" s="64" t="e">
        <f>WEEKDAY([9]!Sheet_1_Table_1_13[[#This Row],[Lesson 3
Date 
(DD-MMM-YYYY)]])</f>
        <v>#REF!</v>
      </c>
      <c r="AW71" s="65"/>
      <c r="AX71" s="66"/>
      <c r="AY71" s="126"/>
      <c r="AZ71" s="98"/>
      <c r="BA71" s="64" t="e">
        <f>WEEKDAY([9]!Sheet_1_Table_1_13[[#This Row],[Lesson 4
Date 
(DD-MMM-YYYY)]])</f>
        <v>#REF!</v>
      </c>
      <c r="BB71" s="65"/>
      <c r="BC71" s="66"/>
      <c r="BD71" s="126"/>
      <c r="BE71" s="63"/>
      <c r="BF71" s="64" t="e">
        <f>WEEKDAY([9]!Sheet_1_Table_1_13[[#This Row],[Lesson 5
Date 
(DD-MMM-YYYY)]])</f>
        <v>#REF!</v>
      </c>
      <c r="BG71" s="65"/>
      <c r="BH71" s="66"/>
      <c r="BI71" s="126"/>
      <c r="BJ71" s="98"/>
      <c r="BK71" s="64" t="e">
        <f>WEEKDAY([9]!Sheet_1_Table_1_13[[#This Row],[Lesson 6
Date 
(DD-MMM-YYYY)]])</f>
        <v>#REF!</v>
      </c>
      <c r="BL71" s="65"/>
      <c r="BM71" s="66"/>
      <c r="BN71" s="99"/>
      <c r="BO71" s="54" t="s">
        <v>163</v>
      </c>
      <c r="BP71" s="69" t="s">
        <v>792</v>
      </c>
      <c r="BQ71" s="56" t="s">
        <v>409</v>
      </c>
      <c r="BR71" s="57" t="s">
        <v>793</v>
      </c>
      <c r="BS71" s="54"/>
      <c r="BT71" s="56"/>
      <c r="BU71" s="56"/>
      <c r="BV71" s="57"/>
      <c r="BW71" s="60"/>
      <c r="BX71" s="195"/>
      <c r="BY71" s="56" t="s">
        <v>149</v>
      </c>
      <c r="BZ71" s="56"/>
      <c r="CA71" s="56" t="s">
        <v>149</v>
      </c>
      <c r="CB71" s="72"/>
      <c r="CC71" s="72"/>
      <c r="CD71" s="72"/>
      <c r="CE71" s="60" t="s">
        <v>794</v>
      </c>
      <c r="CF71" s="517" t="s">
        <v>795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25" t="s">
        <v>146</v>
      </c>
      <c r="DL71" s="225" t="s">
        <v>146</v>
      </c>
      <c r="DM71" s="225" t="s">
        <v>146</v>
      </c>
    </row>
    <row r="72" spans="2:117" ht="90">
      <c r="B72" s="49">
        <v>202609</v>
      </c>
      <c r="C72" s="50" t="s">
        <v>800</v>
      </c>
      <c r="D72" s="50" t="s">
        <v>174</v>
      </c>
      <c r="E72" s="51">
        <v>5818</v>
      </c>
      <c r="F72" s="54" t="s">
        <v>785</v>
      </c>
      <c r="G72" s="53" t="s">
        <v>157</v>
      </c>
      <c r="H72" s="95" t="s">
        <v>786</v>
      </c>
      <c r="I72" s="84" t="s">
        <v>787</v>
      </c>
      <c r="J72" s="60"/>
      <c r="K72" s="54" t="s">
        <v>801</v>
      </c>
      <c r="L72" s="53"/>
      <c r="M72" s="56" t="s">
        <v>802</v>
      </c>
      <c r="N72" s="57" t="s">
        <v>803</v>
      </c>
      <c r="O72" s="230" t="s">
        <v>146</v>
      </c>
      <c r="P72" s="96" t="s">
        <v>146</v>
      </c>
      <c r="Q72" s="60" t="s">
        <v>352</v>
      </c>
      <c r="R72" s="202" t="e">
        <f>VLOOKUP([9]!Sheet_1_Table_1_13[[#This Row],[Learning Domain]],[9]List!$A$7:$B$12,2,0)</f>
        <v>#REF!</v>
      </c>
      <c r="S72" s="55">
        <v>0</v>
      </c>
      <c r="T72" s="55">
        <v>40</v>
      </c>
      <c r="U72" s="55">
        <v>0</v>
      </c>
      <c r="V72" s="55">
        <v>0</v>
      </c>
      <c r="W72" s="55">
        <v>0</v>
      </c>
      <c r="X72" s="55">
        <v>0</v>
      </c>
      <c r="Y72" s="55">
        <v>0</v>
      </c>
      <c r="Z72" s="55">
        <v>40</v>
      </c>
      <c r="AA72" s="55">
        <v>20</v>
      </c>
      <c r="AB72" s="619">
        <v>100</v>
      </c>
      <c r="AC72" s="97" t="s">
        <v>199</v>
      </c>
      <c r="AD72" s="55" t="s">
        <v>190</v>
      </c>
      <c r="AE72" s="55" t="s">
        <v>146</v>
      </c>
      <c r="AF72" s="55" t="s">
        <v>142</v>
      </c>
      <c r="AG72" s="55" t="s">
        <v>142</v>
      </c>
      <c r="AH72" s="55">
        <v>2</v>
      </c>
      <c r="AI72" s="55">
        <v>15</v>
      </c>
      <c r="AJ72" s="723">
        <f>SUM(Sheet_1_Table_1_134[[#This Row],[ILP Units Per Session]]*Sheet_1_Table_1_134[[#This Row],[Quota]])</f>
        <v>30</v>
      </c>
      <c r="AK72" s="771">
        <v>46322</v>
      </c>
      <c r="AL72" s="64">
        <f>WEEKDAY(Sheet_1_Table_1_134[[#This Row],[Lesson 1 
Date 
(DD-MMM-YYYY)]])</f>
        <v>3</v>
      </c>
      <c r="AM72" s="562">
        <v>0.72916666666666663</v>
      </c>
      <c r="AN72" s="563">
        <v>0.8125</v>
      </c>
      <c r="AO72" s="717" t="s">
        <v>804</v>
      </c>
      <c r="AP72" s="565"/>
      <c r="AQ72" s="64" t="e">
        <f>WEEKDAY([9]!Sheet_1_Table_1_13[[#This Row],[Lesson 2
Date 
(DD-MMM-YYYY)]])</f>
        <v>#REF!</v>
      </c>
      <c r="AR72" s="65"/>
      <c r="AS72" s="66"/>
      <c r="AT72" s="126"/>
      <c r="AU72" s="63"/>
      <c r="AV72" s="64" t="e">
        <f>WEEKDAY([9]!Sheet_1_Table_1_13[[#This Row],[Lesson 3
Date 
(DD-MMM-YYYY)]])</f>
        <v>#REF!</v>
      </c>
      <c r="AW72" s="65"/>
      <c r="AX72" s="66"/>
      <c r="AY72" s="126"/>
      <c r="AZ72" s="98"/>
      <c r="BA72" s="64" t="e">
        <f>WEEKDAY([9]!Sheet_1_Table_1_13[[#This Row],[Lesson 4
Date 
(DD-MMM-YYYY)]])</f>
        <v>#REF!</v>
      </c>
      <c r="BB72" s="65"/>
      <c r="BC72" s="66"/>
      <c r="BD72" s="126"/>
      <c r="BE72" s="63"/>
      <c r="BF72" s="64" t="e">
        <f>WEEKDAY([9]!Sheet_1_Table_1_13[[#This Row],[Lesson 5
Date 
(DD-MMM-YYYY)]])</f>
        <v>#REF!</v>
      </c>
      <c r="BG72" s="65"/>
      <c r="BH72" s="66"/>
      <c r="BI72" s="126"/>
      <c r="BJ72" s="98"/>
      <c r="BK72" s="64" t="e">
        <f>WEEKDAY([9]!Sheet_1_Table_1_13[[#This Row],[Lesson 6
Date 
(DD-MMM-YYYY)]])</f>
        <v>#REF!</v>
      </c>
      <c r="BL72" s="65"/>
      <c r="BM72" s="66"/>
      <c r="BN72" s="99"/>
      <c r="BO72" s="54" t="s">
        <v>163</v>
      </c>
      <c r="BP72" s="69" t="s">
        <v>792</v>
      </c>
      <c r="BQ72" s="56" t="s">
        <v>409</v>
      </c>
      <c r="BR72" s="57" t="s">
        <v>793</v>
      </c>
      <c r="BS72" s="54"/>
      <c r="BT72" s="56"/>
      <c r="BU72" s="56"/>
      <c r="BV72" s="57"/>
      <c r="BW72" s="60"/>
      <c r="BX72" s="195"/>
      <c r="BY72" s="56" t="s">
        <v>149</v>
      </c>
      <c r="BZ72" s="56"/>
      <c r="CA72" s="56" t="s">
        <v>149</v>
      </c>
      <c r="CB72" s="72"/>
      <c r="CC72" s="72"/>
      <c r="CD72" s="72"/>
      <c r="CE72" s="60" t="s">
        <v>794</v>
      </c>
      <c r="CF72" s="517" t="s">
        <v>795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25" t="s">
        <v>146</v>
      </c>
      <c r="DL72" s="225" t="s">
        <v>146</v>
      </c>
      <c r="DM72" s="225" t="s">
        <v>146</v>
      </c>
    </row>
    <row r="73" spans="2:117" ht="120">
      <c r="B73" s="49">
        <v>202609</v>
      </c>
      <c r="C73" s="50" t="s">
        <v>805</v>
      </c>
      <c r="D73" s="50" t="s">
        <v>174</v>
      </c>
      <c r="E73" s="51">
        <v>5819</v>
      </c>
      <c r="F73" s="54" t="s">
        <v>785</v>
      </c>
      <c r="G73" s="53" t="s">
        <v>157</v>
      </c>
      <c r="H73" s="95" t="s">
        <v>786</v>
      </c>
      <c r="I73" s="84" t="s">
        <v>787</v>
      </c>
      <c r="J73" s="60"/>
      <c r="K73" s="54" t="s">
        <v>806</v>
      </c>
      <c r="L73" s="53"/>
      <c r="M73" s="56" t="s">
        <v>807</v>
      </c>
      <c r="N73" s="57" t="s">
        <v>808</v>
      </c>
      <c r="O73" s="230" t="s">
        <v>146</v>
      </c>
      <c r="P73" s="96" t="s">
        <v>146</v>
      </c>
      <c r="Q73" s="60" t="s">
        <v>352</v>
      </c>
      <c r="R73" s="202" t="e">
        <f>VLOOKUP([9]!Sheet_1_Table_1_13[[#This Row],[Learning Domain]],[9]List!$A$7:$B$12,2,0)</f>
        <v>#REF!</v>
      </c>
      <c r="S73" s="55">
        <v>20</v>
      </c>
      <c r="T73" s="55">
        <v>40</v>
      </c>
      <c r="U73" s="55">
        <v>0</v>
      </c>
      <c r="V73" s="55">
        <v>0</v>
      </c>
      <c r="W73" s="55">
        <v>20</v>
      </c>
      <c r="X73" s="55">
        <v>0</v>
      </c>
      <c r="Y73" s="55">
        <v>0</v>
      </c>
      <c r="Z73" s="55">
        <v>0</v>
      </c>
      <c r="AA73" s="55">
        <v>20</v>
      </c>
      <c r="AB73" s="619">
        <v>100</v>
      </c>
      <c r="AC73" s="97" t="s">
        <v>199</v>
      </c>
      <c r="AD73" s="55" t="s">
        <v>190</v>
      </c>
      <c r="AE73" s="55" t="s">
        <v>146</v>
      </c>
      <c r="AF73" s="55" t="s">
        <v>142</v>
      </c>
      <c r="AG73" s="55" t="s">
        <v>142</v>
      </c>
      <c r="AH73" s="55">
        <v>2</v>
      </c>
      <c r="AI73" s="55">
        <v>15</v>
      </c>
      <c r="AJ73" s="723">
        <f>SUM(Sheet_1_Table_1_134[[#This Row],[ILP Units Per Session]]*Sheet_1_Table_1_134[[#This Row],[Quota]])</f>
        <v>30</v>
      </c>
      <c r="AK73" s="771">
        <v>46324</v>
      </c>
      <c r="AL73" s="64">
        <f>WEEKDAY(Sheet_1_Table_1_134[[#This Row],[Lesson 1 
Date 
(DD-MMM-YYYY)]])</f>
        <v>5</v>
      </c>
      <c r="AM73" s="562">
        <v>0.75</v>
      </c>
      <c r="AN73" s="563">
        <v>0.83333333333333337</v>
      </c>
      <c r="AO73" s="717" t="s">
        <v>791</v>
      </c>
      <c r="AP73" s="565"/>
      <c r="AQ73" s="64" t="e">
        <f>WEEKDAY([9]!Sheet_1_Table_1_13[[#This Row],[Lesson 2
Date 
(DD-MMM-YYYY)]])</f>
        <v>#REF!</v>
      </c>
      <c r="AR73" s="65"/>
      <c r="AS73" s="66"/>
      <c r="AT73" s="126"/>
      <c r="AU73" s="63"/>
      <c r="AV73" s="64" t="e">
        <f>WEEKDAY([9]!Sheet_1_Table_1_13[[#This Row],[Lesson 3
Date 
(DD-MMM-YYYY)]])</f>
        <v>#REF!</v>
      </c>
      <c r="AW73" s="65"/>
      <c r="AX73" s="66"/>
      <c r="AY73" s="126"/>
      <c r="AZ73" s="98"/>
      <c r="BA73" s="64" t="e">
        <f>WEEKDAY([9]!Sheet_1_Table_1_13[[#This Row],[Lesson 4
Date 
(DD-MMM-YYYY)]])</f>
        <v>#REF!</v>
      </c>
      <c r="BB73" s="65"/>
      <c r="BC73" s="66"/>
      <c r="BD73" s="126"/>
      <c r="BE73" s="63"/>
      <c r="BF73" s="64" t="e">
        <f>WEEKDAY([9]!Sheet_1_Table_1_13[[#This Row],[Lesson 5
Date 
(DD-MMM-YYYY)]])</f>
        <v>#REF!</v>
      </c>
      <c r="BG73" s="65"/>
      <c r="BH73" s="66"/>
      <c r="BI73" s="126"/>
      <c r="BJ73" s="98"/>
      <c r="BK73" s="64" t="e">
        <f>WEEKDAY([9]!Sheet_1_Table_1_13[[#This Row],[Lesson 6
Date 
(DD-MMM-YYYY)]])</f>
        <v>#REF!</v>
      </c>
      <c r="BL73" s="65"/>
      <c r="BM73" s="66"/>
      <c r="BN73" s="99"/>
      <c r="BO73" s="54" t="s">
        <v>163</v>
      </c>
      <c r="BP73" s="69" t="s">
        <v>792</v>
      </c>
      <c r="BQ73" s="56" t="s">
        <v>409</v>
      </c>
      <c r="BR73" s="57" t="s">
        <v>793</v>
      </c>
      <c r="BS73" s="54"/>
      <c r="BT73" s="56"/>
      <c r="BU73" s="56"/>
      <c r="BV73" s="57"/>
      <c r="BW73" s="60"/>
      <c r="BX73" s="195"/>
      <c r="BY73" s="56" t="s">
        <v>184</v>
      </c>
      <c r="BZ73" s="56"/>
      <c r="CA73" s="56" t="s">
        <v>184</v>
      </c>
      <c r="CB73" s="72"/>
      <c r="CC73" s="72"/>
      <c r="CD73" s="72"/>
      <c r="CE73" s="60" t="s">
        <v>794</v>
      </c>
      <c r="CF73" s="517" t="s">
        <v>795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row>
    <row r="74" spans="2:117" ht="195">
      <c r="B74" s="589">
        <v>202609</v>
      </c>
      <c r="C74" s="587" t="s">
        <v>809</v>
      </c>
      <c r="D74" s="587" t="s">
        <v>810</v>
      </c>
      <c r="E74" s="591">
        <v>5820</v>
      </c>
      <c r="F74" s="586" t="s">
        <v>785</v>
      </c>
      <c r="G74" s="605" t="s">
        <v>157</v>
      </c>
      <c r="H74" s="95" t="s">
        <v>786</v>
      </c>
      <c r="I74" s="311" t="s">
        <v>787</v>
      </c>
      <c r="J74" s="568"/>
      <c r="K74" s="586" t="s">
        <v>811</v>
      </c>
      <c r="L74" s="605"/>
      <c r="M74" s="570" t="s">
        <v>812</v>
      </c>
      <c r="N74" s="308" t="s">
        <v>813</v>
      </c>
      <c r="O74" s="635" t="s">
        <v>146</v>
      </c>
      <c r="P74" s="585" t="s">
        <v>146</v>
      </c>
      <c r="Q74" s="568" t="s">
        <v>352</v>
      </c>
      <c r="R74" s="636" t="e">
        <f>VLOOKUP([9]!Sheet_1_Table_1_13[[#This Row],[Learning Domain]],[9]List!$A$7:$B$12,2,0)</f>
        <v>#REF!</v>
      </c>
      <c r="S74" s="572">
        <v>0</v>
      </c>
      <c r="T74" s="572">
        <v>40</v>
      </c>
      <c r="U74" s="572">
        <v>0</v>
      </c>
      <c r="V74" s="572">
        <v>0</v>
      </c>
      <c r="W74" s="572">
        <v>0</v>
      </c>
      <c r="X74" s="572">
        <v>0</v>
      </c>
      <c r="Y74" s="572">
        <v>0</v>
      </c>
      <c r="Z74" s="572">
        <v>40</v>
      </c>
      <c r="AA74" s="572">
        <v>20</v>
      </c>
      <c r="AB74" s="619">
        <v>100</v>
      </c>
      <c r="AC74" s="305" t="s">
        <v>199</v>
      </c>
      <c r="AD74" s="572" t="s">
        <v>190</v>
      </c>
      <c r="AE74" s="572" t="s">
        <v>146</v>
      </c>
      <c r="AF74" s="572" t="s">
        <v>142</v>
      </c>
      <c r="AG74" s="572" t="s">
        <v>142</v>
      </c>
      <c r="AH74" s="572">
        <v>4</v>
      </c>
      <c r="AI74" s="572">
        <v>30</v>
      </c>
      <c r="AJ74" s="723">
        <f>SUM(Sheet_1_Table_1_134[[#This Row],[ILP Units Per Session]]*Sheet_1_Table_1_134[[#This Row],[Quota]])</f>
        <v>120</v>
      </c>
      <c r="AK74" s="771">
        <v>46314</v>
      </c>
      <c r="AL74" s="64">
        <f>WEEKDAY(Sheet_1_Table_1_134[[#This Row],[Lesson 1 
Date 
(DD-MMM-YYYY)]])</f>
        <v>2</v>
      </c>
      <c r="AM74" s="772">
        <v>0.75</v>
      </c>
      <c r="AN74" s="621">
        <v>0.83333333333333337</v>
      </c>
      <c r="AO74" s="637" t="s">
        <v>791</v>
      </c>
      <c r="AP74" s="595">
        <v>46317</v>
      </c>
      <c r="AQ74" s="596" t="e">
        <f>WEEKDAY([9]!Sheet_1_Table_1_13[[#This Row],[Lesson 2
Date 
(DD-MMM-YYYY)]])</f>
        <v>#REF!</v>
      </c>
      <c r="AR74" s="575">
        <v>0.75</v>
      </c>
      <c r="AS74" s="593">
        <v>0.83333333333333337</v>
      </c>
      <c r="AT74" s="594" t="s">
        <v>791</v>
      </c>
      <c r="AU74" s="592"/>
      <c r="AV74" s="596" t="e">
        <f>WEEKDAY([9]!Sheet_1_Table_1_13[[#This Row],[Lesson 3
Date 
(DD-MMM-YYYY)]])</f>
        <v>#REF!</v>
      </c>
      <c r="AW74" s="575"/>
      <c r="AX74" s="593"/>
      <c r="AY74" s="594"/>
      <c r="AZ74" s="597"/>
      <c r="BA74" s="596" t="e">
        <f>WEEKDAY([9]!Sheet_1_Table_1_13[[#This Row],[Lesson 4
Date 
(DD-MMM-YYYY)]])</f>
        <v>#REF!</v>
      </c>
      <c r="BB74" s="575"/>
      <c r="BC74" s="593"/>
      <c r="BD74" s="594"/>
      <c r="BE74" s="592"/>
      <c r="BF74" s="596" t="e">
        <f>WEEKDAY([9]!Sheet_1_Table_1_13[[#This Row],[Lesson 5
Date 
(DD-MMM-YYYY)]])</f>
        <v>#REF!</v>
      </c>
      <c r="BG74" s="575"/>
      <c r="BH74" s="593"/>
      <c r="BI74" s="594"/>
      <c r="BJ74" s="597"/>
      <c r="BK74" s="596" t="e">
        <f>WEEKDAY([9]!Sheet_1_Table_1_13[[#This Row],[Lesson 6
Date 
(DD-MMM-YYYY)]])</f>
        <v>#REF!</v>
      </c>
      <c r="BL74" s="575"/>
      <c r="BM74" s="593"/>
      <c r="BN74" s="598"/>
      <c r="BO74" s="586" t="s">
        <v>163</v>
      </c>
      <c r="BP74" s="569" t="s">
        <v>792</v>
      </c>
      <c r="BQ74" s="570" t="s">
        <v>409</v>
      </c>
      <c r="BR74" s="308" t="s">
        <v>793</v>
      </c>
      <c r="BS74" s="586" t="s">
        <v>291</v>
      </c>
      <c r="BT74" s="570" t="s">
        <v>814</v>
      </c>
      <c r="BU74" s="570" t="s">
        <v>815</v>
      </c>
      <c r="BV74" s="308" t="s">
        <v>816</v>
      </c>
      <c r="BW74" s="568">
        <v>100</v>
      </c>
      <c r="BX74" s="625">
        <v>200</v>
      </c>
      <c r="BY74" s="570"/>
      <c r="BZ74" s="570"/>
      <c r="CA74" s="570" t="s">
        <v>817</v>
      </c>
      <c r="CB74" s="600"/>
      <c r="CC74" s="600"/>
      <c r="CD74" s="600"/>
      <c r="CE74" s="568" t="s">
        <v>794</v>
      </c>
      <c r="CF74" s="582" t="s">
        <v>795</v>
      </c>
      <c r="CG74" s="570"/>
      <c r="CH74" s="308"/>
      <c r="CI74" s="572" t="s">
        <v>146</v>
      </c>
      <c r="CJ74" s="572" t="s">
        <v>142</v>
      </c>
      <c r="CK74" s="572" t="s">
        <v>142</v>
      </c>
      <c r="CL74" s="572" t="s">
        <v>142</v>
      </c>
      <c r="CM74" s="572" t="s">
        <v>146</v>
      </c>
      <c r="CN74" s="572" t="s">
        <v>142</v>
      </c>
      <c r="CO74" s="572" t="s">
        <v>142</v>
      </c>
      <c r="CP74" s="572" t="s">
        <v>142</v>
      </c>
      <c r="CQ74" s="572" t="s">
        <v>142</v>
      </c>
      <c r="CR74" s="572" t="s">
        <v>146</v>
      </c>
      <c r="CS74" s="572" t="s">
        <v>142</v>
      </c>
      <c r="CT74" s="572" t="s">
        <v>146</v>
      </c>
      <c r="CU74" s="572" t="s">
        <v>142</v>
      </c>
      <c r="CV74" s="572" t="s">
        <v>142</v>
      </c>
      <c r="CW74" s="572" t="s">
        <v>142</v>
      </c>
      <c r="CX74" s="572" t="s">
        <v>142</v>
      </c>
      <c r="CY74" s="572" t="s">
        <v>142</v>
      </c>
      <c r="CZ74" s="585" t="s">
        <v>142</v>
      </c>
      <c r="DA74" s="586" t="s">
        <v>154</v>
      </c>
      <c r="DB74" s="587" t="s">
        <v>155</v>
      </c>
      <c r="DC74" s="587" t="s">
        <v>156</v>
      </c>
      <c r="DD74" s="587" t="s">
        <v>146</v>
      </c>
      <c r="DE74" s="587" t="s">
        <v>157</v>
      </c>
      <c r="DF74" s="587" t="s">
        <v>146</v>
      </c>
      <c r="DG74" s="588"/>
      <c r="DH74" s="588"/>
      <c r="DI74" s="588"/>
      <c r="DJ74" s="588"/>
      <c r="DK74" s="628" t="s">
        <v>146</v>
      </c>
      <c r="DL74" s="628" t="s">
        <v>146</v>
      </c>
      <c r="DM74" s="628" t="s">
        <v>146</v>
      </c>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61">
    <cfRule type="cellIs" dxfId="98" priority="26" operator="greaterThan">
      <formula>0</formula>
    </cfRule>
  </conditionalFormatting>
  <conditionalFormatting sqref="K63">
    <cfRule type="cellIs" dxfId="97" priority="18" operator="greaterThan">
      <formula>0</formula>
    </cfRule>
  </conditionalFormatting>
  <conditionalFormatting sqref="K68:K70">
    <cfRule type="cellIs" dxfId="96" priority="7" operator="greaterThan">
      <formula>0</formula>
    </cfRule>
  </conditionalFormatting>
  <conditionalFormatting sqref="K58:L60">
    <cfRule type="cellIs" dxfId="95" priority="28" operator="greaterThan">
      <formula>0</formula>
    </cfRule>
  </conditionalFormatting>
  <conditionalFormatting sqref="K62:L62">
    <cfRule type="cellIs" dxfId="94" priority="22" operator="greaterThan">
      <formula>0</formula>
    </cfRule>
  </conditionalFormatting>
  <conditionalFormatting sqref="K64:L67">
    <cfRule type="cellIs" dxfId="93" priority="17" operator="greaterThan">
      <formula>0</formula>
    </cfRule>
  </conditionalFormatting>
  <conditionalFormatting sqref="K71:L74">
    <cfRule type="cellIs" dxfId="92" priority="5" operator="greaterThan">
      <formula>0</formula>
    </cfRule>
  </conditionalFormatting>
  <conditionalFormatting sqref="L3:L8">
    <cfRule type="cellIs" dxfId="91" priority="38" operator="greaterThan">
      <formula>0</formula>
    </cfRule>
  </conditionalFormatting>
  <conditionalFormatting sqref="L52:L55">
    <cfRule type="cellIs" dxfId="90" priority="33" operator="greaterThan">
      <formula>0</formula>
    </cfRule>
  </conditionalFormatting>
  <conditionalFormatting sqref="S3:AA74 J66">
    <cfRule type="cellIs" dxfId="89" priority="15" operator="greaterThan">
      <formula>0</formula>
    </cfRule>
  </conditionalFormatting>
  <conditionalFormatting sqref="AB3:AB74">
    <cfRule type="cellIs" dxfId="88" priority="3" operator="notEqual">
      <formula>100</formula>
    </cfRule>
    <cfRule type="cellIs" dxfId="87" priority="4" operator="equal">
      <formula>100</formula>
    </cfRule>
  </conditionalFormatting>
  <conditionalFormatting sqref="AE3:AG74 CI3:CZ74 DI3:DJ74">
    <cfRule type="containsText" dxfId="86" priority="1" operator="containsText" text="Y">
      <formula>NOT(ISERROR(SEARCH("Y",AE3)))</formula>
    </cfRule>
  </conditionalFormatting>
  <conditionalFormatting sqref="CE45:CH45 CG46:CH46 CE47:CH47">
    <cfRule type="containsText" dxfId="85"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Z33" zoomScaleNormal="100" workbookViewId="0">
      <selection activeCell="AH36" sqref="AH3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04"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126.75" customHeight="1">
      <c r="A3" s="48">
        <v>1</v>
      </c>
      <c r="B3" s="49">
        <v>202609</v>
      </c>
      <c r="C3" s="50" t="s">
        <v>818</v>
      </c>
      <c r="D3" s="50"/>
      <c r="E3" s="51">
        <v>5679</v>
      </c>
      <c r="F3" s="52" t="s">
        <v>134</v>
      </c>
      <c r="G3" s="53" t="s">
        <v>819</v>
      </c>
      <c r="H3" s="80" t="s">
        <v>820</v>
      </c>
      <c r="I3" s="85" t="s">
        <v>821</v>
      </c>
      <c r="J3" s="54" t="s">
        <v>822</v>
      </c>
      <c r="K3" s="55" t="s">
        <v>823</v>
      </c>
      <c r="L3" s="55"/>
      <c r="M3" s="56" t="s">
        <v>824</v>
      </c>
      <c r="N3" s="57" t="s">
        <v>825</v>
      </c>
      <c r="O3" s="78" t="s">
        <v>146</v>
      </c>
      <c r="P3" s="59" t="s">
        <v>146</v>
      </c>
      <c r="Q3" s="60" t="s">
        <v>826</v>
      </c>
      <c r="R3" s="77" t="s">
        <v>827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828</v>
      </c>
      <c r="AP3" s="68">
        <v>46304</v>
      </c>
      <c r="AQ3" s="64">
        <f>WEEKDAY(Sheet_1_Table_1_13[[#This Row],[Lesson 1 
Date 
(DD-MMM-YYYY)]])</f>
        <v>6</v>
      </c>
      <c r="AR3" s="65">
        <v>0.45833333333333331</v>
      </c>
      <c r="AS3" s="66">
        <v>0.52083333333333337</v>
      </c>
      <c r="AT3" s="67" t="s">
        <v>828</v>
      </c>
      <c r="AU3" s="63">
        <v>46311</v>
      </c>
      <c r="AV3" s="64">
        <f>WEEKDAY(Sheet_1_Table_1_13[[#This Row],[Lesson 1 
Date 
(DD-MMM-YYYY)]])</f>
        <v>6</v>
      </c>
      <c r="AW3" s="65">
        <v>0.45833333333333331</v>
      </c>
      <c r="AX3" s="66">
        <v>0.52083333333333337</v>
      </c>
      <c r="AY3" s="67" t="s">
        <v>828</v>
      </c>
      <c r="AZ3" s="68">
        <v>46318</v>
      </c>
      <c r="BA3" s="64">
        <f>WEEKDAY(Sheet_1_Table_1_13[[#This Row],[Lesson 1 
Date 
(DD-MMM-YYYY)]])</f>
        <v>6</v>
      </c>
      <c r="BB3" s="65">
        <v>0.45833333333333331</v>
      </c>
      <c r="BC3" s="66">
        <v>0.52083333333333337</v>
      </c>
      <c r="BD3" s="67" t="s">
        <v>828</v>
      </c>
      <c r="BE3" s="63">
        <v>46325</v>
      </c>
      <c r="BF3" s="64">
        <f>WEEKDAY(Sheet_1_Table_1_13[[#This Row],[Lesson 1 
Date 
(DD-MMM-YYYY)]])</f>
        <v>6</v>
      </c>
      <c r="BG3" s="65">
        <v>0.45833333333333331</v>
      </c>
      <c r="BH3" s="66">
        <v>0.52083333333333337</v>
      </c>
      <c r="BI3" s="67" t="s">
        <v>828</v>
      </c>
      <c r="BJ3" s="68">
        <v>46339</v>
      </c>
      <c r="BK3" s="64">
        <f>WEEKDAY(Sheet_1_Table_1_13[[#This Row],[Lesson 1 
Date 
(DD-MMM-YYYY)]])</f>
        <v>6</v>
      </c>
      <c r="BL3" s="65">
        <v>0.45833333333333331</v>
      </c>
      <c r="BM3" s="66">
        <v>0.52083333333333337</v>
      </c>
      <c r="BN3" s="67" t="s">
        <v>828</v>
      </c>
      <c r="BO3" s="54" t="s">
        <v>291</v>
      </c>
      <c r="BP3" s="69" t="s">
        <v>829</v>
      </c>
      <c r="BQ3" s="69" t="s">
        <v>611</v>
      </c>
      <c r="BR3" s="57" t="s">
        <v>830</v>
      </c>
      <c r="BS3" s="52"/>
      <c r="BT3" s="56"/>
      <c r="BU3" s="56"/>
      <c r="BV3" s="70"/>
      <c r="BW3" s="60">
        <v>100</v>
      </c>
      <c r="BX3" s="71">
        <v>0</v>
      </c>
      <c r="BY3" s="56" t="s">
        <v>149</v>
      </c>
      <c r="BZ3" s="56"/>
      <c r="CA3" s="56" t="s">
        <v>831</v>
      </c>
      <c r="CB3" s="72"/>
      <c r="CC3" s="72"/>
      <c r="CD3" s="71"/>
      <c r="CE3" s="56" t="s">
        <v>832</v>
      </c>
      <c r="CF3" s="57" t="s">
        <v>833</v>
      </c>
      <c r="CG3" s="60" t="s">
        <v>834</v>
      </c>
      <c r="CH3" s="71" t="s">
        <v>835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836</v>
      </c>
      <c r="D4" s="50"/>
      <c r="E4" s="51">
        <v>5689</v>
      </c>
      <c r="F4" s="52" t="s">
        <v>134</v>
      </c>
      <c r="G4" s="53" t="s">
        <v>819</v>
      </c>
      <c r="H4" s="80" t="s">
        <v>820</v>
      </c>
      <c r="I4" s="85" t="s">
        <v>821</v>
      </c>
      <c r="J4" s="54" t="s">
        <v>837</v>
      </c>
      <c r="K4" s="55" t="s">
        <v>838</v>
      </c>
      <c r="L4" s="55">
        <v>1</v>
      </c>
      <c r="M4" s="56" t="s">
        <v>839</v>
      </c>
      <c r="N4" s="57" t="s">
        <v>840</v>
      </c>
      <c r="O4" s="78" t="s">
        <v>146</v>
      </c>
      <c r="P4" s="59" t="s">
        <v>146</v>
      </c>
      <c r="Q4" s="60" t="s">
        <v>826</v>
      </c>
      <c r="R4" s="61" t="s">
        <v>827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828</v>
      </c>
      <c r="AP4" s="68">
        <v>46307</v>
      </c>
      <c r="AQ4" s="64">
        <f>WEEKDAY(Sheet_1_Table_1_13[[#This Row],[Lesson 1 
Date 
(DD-MMM-YYYY)]])</f>
        <v>2</v>
      </c>
      <c r="AR4" s="65">
        <v>0.41666666666666669</v>
      </c>
      <c r="AS4" s="66">
        <v>0.47916666666666669</v>
      </c>
      <c r="AT4" s="91" t="s">
        <v>828</v>
      </c>
      <c r="AU4" s="63">
        <v>46321</v>
      </c>
      <c r="AV4" s="64">
        <f>WEEKDAY(Sheet_1_Table_1_13[[#This Row],[Lesson 1 
Date 
(DD-MMM-YYYY)]])</f>
        <v>2</v>
      </c>
      <c r="AW4" s="65">
        <v>0.41666666666666669</v>
      </c>
      <c r="AX4" s="66">
        <v>0.47916666666666669</v>
      </c>
      <c r="AY4" s="91" t="s">
        <v>828</v>
      </c>
      <c r="AZ4" s="68">
        <v>46328</v>
      </c>
      <c r="BA4" s="64">
        <f>WEEKDAY(Sheet_1_Table_1_13[[#This Row],[Lesson 1 
Date 
(DD-MMM-YYYY)]])</f>
        <v>2</v>
      </c>
      <c r="BB4" s="65">
        <v>0.41666666666666669</v>
      </c>
      <c r="BC4" s="66">
        <v>0.47916666666666669</v>
      </c>
      <c r="BD4" s="91" t="s">
        <v>828</v>
      </c>
      <c r="BE4" s="63">
        <v>46335</v>
      </c>
      <c r="BF4" s="64">
        <f>WEEKDAY(Sheet_1_Table_1_13[[#This Row],[Lesson 1 
Date 
(DD-MMM-YYYY)]])</f>
        <v>2</v>
      </c>
      <c r="BG4" s="65">
        <v>0.41666666666666669</v>
      </c>
      <c r="BH4" s="66">
        <v>0.47916666666666669</v>
      </c>
      <c r="BI4" s="91" t="s">
        <v>828</v>
      </c>
      <c r="BJ4" s="68">
        <v>46342</v>
      </c>
      <c r="BK4" s="64">
        <f>WEEKDAY(Sheet_1_Table_1_13[[#This Row],[Lesson 1 
Date 
(DD-MMM-YYYY)]])</f>
        <v>2</v>
      </c>
      <c r="BL4" s="65">
        <v>0.41666666666666669</v>
      </c>
      <c r="BM4" s="66">
        <v>0.47916666666666669</v>
      </c>
      <c r="BN4" s="91" t="s">
        <v>828</v>
      </c>
      <c r="BO4" s="54" t="s">
        <v>291</v>
      </c>
      <c r="BP4" s="69" t="s">
        <v>841</v>
      </c>
      <c r="BQ4" s="69" t="s">
        <v>355</v>
      </c>
      <c r="BR4" s="57" t="s">
        <v>842</v>
      </c>
      <c r="BS4" s="52"/>
      <c r="BT4" s="56"/>
      <c r="BU4" s="56"/>
      <c r="BV4" s="70"/>
      <c r="BW4" s="60">
        <v>100</v>
      </c>
      <c r="BX4" s="71">
        <v>0</v>
      </c>
      <c r="BY4" s="56" t="s">
        <v>149</v>
      </c>
      <c r="BZ4" s="56"/>
      <c r="CA4" s="56" t="s">
        <v>831</v>
      </c>
      <c r="CB4" s="72"/>
      <c r="CC4" s="72"/>
      <c r="CD4" s="71"/>
      <c r="CE4" s="56" t="s">
        <v>832</v>
      </c>
      <c r="CF4" s="57" t="s">
        <v>833</v>
      </c>
      <c r="CG4" s="60" t="s">
        <v>834</v>
      </c>
      <c r="CH4" s="71" t="s">
        <v>835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836</v>
      </c>
      <c r="D5" s="50"/>
      <c r="E5" s="51">
        <v>5690</v>
      </c>
      <c r="F5" s="52" t="s">
        <v>134</v>
      </c>
      <c r="G5" s="53" t="s">
        <v>819</v>
      </c>
      <c r="H5" s="80" t="s">
        <v>820</v>
      </c>
      <c r="I5" s="85" t="s">
        <v>821</v>
      </c>
      <c r="J5" s="54" t="s">
        <v>837</v>
      </c>
      <c r="K5" s="55" t="s">
        <v>838</v>
      </c>
      <c r="L5" s="55">
        <v>2</v>
      </c>
      <c r="M5" s="56" t="s">
        <v>839</v>
      </c>
      <c r="N5" s="57" t="s">
        <v>840</v>
      </c>
      <c r="O5" s="78" t="s">
        <v>146</v>
      </c>
      <c r="P5" s="59" t="s">
        <v>146</v>
      </c>
      <c r="Q5" s="60" t="s">
        <v>826</v>
      </c>
      <c r="R5" s="77" t="s">
        <v>827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828</v>
      </c>
      <c r="AP5" s="68">
        <v>46307</v>
      </c>
      <c r="AQ5" s="64">
        <f>WEEKDAY(Sheet_1_Table_1_13[[#This Row],[Lesson 1 
Date 
(DD-MMM-YYYY)]])</f>
        <v>2</v>
      </c>
      <c r="AR5" s="65">
        <v>0.47916666666666669</v>
      </c>
      <c r="AS5" s="66">
        <v>0.54166666666666663</v>
      </c>
      <c r="AT5" s="67" t="s">
        <v>828</v>
      </c>
      <c r="AU5" s="63">
        <v>46321</v>
      </c>
      <c r="AV5" s="64">
        <f>WEEKDAY(Sheet_1_Table_1_13[[#This Row],[Lesson 1 
Date 
(DD-MMM-YYYY)]])</f>
        <v>2</v>
      </c>
      <c r="AW5" s="65">
        <v>0.47916666666666669</v>
      </c>
      <c r="AX5" s="66">
        <v>0.54166666666666663</v>
      </c>
      <c r="AY5" s="67" t="s">
        <v>828</v>
      </c>
      <c r="AZ5" s="68">
        <v>46328</v>
      </c>
      <c r="BA5" s="64">
        <f>WEEKDAY(Sheet_1_Table_1_13[[#This Row],[Lesson 1 
Date 
(DD-MMM-YYYY)]])</f>
        <v>2</v>
      </c>
      <c r="BB5" s="65">
        <v>0.47916666666666669</v>
      </c>
      <c r="BC5" s="66">
        <v>0.54166666666666663</v>
      </c>
      <c r="BD5" s="67" t="s">
        <v>828</v>
      </c>
      <c r="BE5" s="63">
        <v>46335</v>
      </c>
      <c r="BF5" s="64">
        <f>WEEKDAY(Sheet_1_Table_1_13[[#This Row],[Lesson 1 
Date 
(DD-MMM-YYYY)]])</f>
        <v>2</v>
      </c>
      <c r="BG5" s="65">
        <v>0.47916666666666669</v>
      </c>
      <c r="BH5" s="66">
        <v>0.54166666666666663</v>
      </c>
      <c r="BI5" s="67" t="s">
        <v>828</v>
      </c>
      <c r="BJ5" s="68">
        <v>46342</v>
      </c>
      <c r="BK5" s="64">
        <f>WEEKDAY(Sheet_1_Table_1_13[[#This Row],[Lesson 1 
Date 
(DD-MMM-YYYY)]])</f>
        <v>2</v>
      </c>
      <c r="BL5" s="65">
        <v>0.47916666666666669</v>
      </c>
      <c r="BM5" s="66">
        <v>0.54166666666666663</v>
      </c>
      <c r="BN5" s="67" t="s">
        <v>828</v>
      </c>
      <c r="BO5" s="54" t="s">
        <v>291</v>
      </c>
      <c r="BP5" s="69" t="s">
        <v>841</v>
      </c>
      <c r="BQ5" s="69" t="s">
        <v>355</v>
      </c>
      <c r="BR5" s="57" t="s">
        <v>842</v>
      </c>
      <c r="BS5" s="52"/>
      <c r="BT5" s="56"/>
      <c r="BU5" s="56"/>
      <c r="BV5" s="70"/>
      <c r="BW5" s="60">
        <v>100</v>
      </c>
      <c r="BX5" s="71">
        <v>0</v>
      </c>
      <c r="BY5" s="56" t="s">
        <v>149</v>
      </c>
      <c r="BZ5" s="56"/>
      <c r="CA5" s="56" t="s">
        <v>831</v>
      </c>
      <c r="CB5" s="72"/>
      <c r="CC5" s="72"/>
      <c r="CD5" s="71"/>
      <c r="CE5" s="56" t="s">
        <v>832</v>
      </c>
      <c r="CF5" s="57" t="s">
        <v>833</v>
      </c>
      <c r="CG5" s="60" t="s">
        <v>834</v>
      </c>
      <c r="CH5" s="71" t="s">
        <v>835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843</v>
      </c>
      <c r="D6" s="50"/>
      <c r="E6" s="51">
        <v>5699</v>
      </c>
      <c r="F6" s="52" t="s">
        <v>134</v>
      </c>
      <c r="G6" s="53" t="s">
        <v>819</v>
      </c>
      <c r="H6" s="52" t="s">
        <v>844</v>
      </c>
      <c r="I6" s="59" t="s">
        <v>845</v>
      </c>
      <c r="J6" s="54" t="s">
        <v>846</v>
      </c>
      <c r="K6" s="55" t="s">
        <v>847</v>
      </c>
      <c r="L6" s="55"/>
      <c r="M6" s="56" t="s">
        <v>848</v>
      </c>
      <c r="N6" s="57" t="s">
        <v>849</v>
      </c>
      <c r="O6" s="78" t="s">
        <v>146</v>
      </c>
      <c r="P6" s="59" t="s">
        <v>146</v>
      </c>
      <c r="Q6" s="60" t="s">
        <v>826</v>
      </c>
      <c r="R6" s="61" t="s">
        <v>827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850</v>
      </c>
      <c r="AP6" s="68">
        <v>46307</v>
      </c>
      <c r="AQ6" s="64">
        <f>WEEKDAY(Sheet_1_Table_1_13[[#This Row],[Lesson 1 
Date 
(DD-MMM-YYYY)]])</f>
        <v>2</v>
      </c>
      <c r="AR6" s="65">
        <v>0.64583333333333337</v>
      </c>
      <c r="AS6" s="66">
        <v>0.70833333333333337</v>
      </c>
      <c r="AT6" s="92" t="s">
        <v>850</v>
      </c>
      <c r="AU6" s="63">
        <v>46321</v>
      </c>
      <c r="AV6" s="64">
        <f>WEEKDAY(Sheet_1_Table_1_13[[#This Row],[Lesson 1 
Date 
(DD-MMM-YYYY)]])</f>
        <v>2</v>
      </c>
      <c r="AW6" s="65">
        <v>0.64583333333333337</v>
      </c>
      <c r="AX6" s="66">
        <v>0.70833333333333337</v>
      </c>
      <c r="AY6" s="92" t="s">
        <v>850</v>
      </c>
      <c r="AZ6" s="68">
        <v>46328</v>
      </c>
      <c r="BA6" s="64">
        <f>WEEKDAY(Sheet_1_Table_1_13[[#This Row],[Lesson 1 
Date 
(DD-MMM-YYYY)]])</f>
        <v>2</v>
      </c>
      <c r="BB6" s="65">
        <v>0.64583333333333337</v>
      </c>
      <c r="BC6" s="66">
        <v>0.70833333333333337</v>
      </c>
      <c r="BD6" s="92" t="s">
        <v>850</v>
      </c>
      <c r="BE6" s="63">
        <v>46335</v>
      </c>
      <c r="BF6" s="64">
        <f>WEEKDAY(Sheet_1_Table_1_13[[#This Row],[Lesson 1 
Date 
(DD-MMM-YYYY)]])</f>
        <v>2</v>
      </c>
      <c r="BG6" s="65">
        <v>0.64583333333333337</v>
      </c>
      <c r="BH6" s="66">
        <v>0.70833333333333337</v>
      </c>
      <c r="BI6" s="92" t="s">
        <v>850</v>
      </c>
      <c r="BJ6" s="68">
        <v>46342</v>
      </c>
      <c r="BK6" s="64">
        <f>WEEKDAY(Sheet_1_Table_1_13[[#This Row],[Lesson 1 
Date 
(DD-MMM-YYYY)]])</f>
        <v>2</v>
      </c>
      <c r="BL6" s="65">
        <v>0.64583333333333337</v>
      </c>
      <c r="BM6" s="66">
        <v>0.70833333333333337</v>
      </c>
      <c r="BN6" s="92" t="s">
        <v>850</v>
      </c>
      <c r="BO6" s="54" t="s">
        <v>291</v>
      </c>
      <c r="BP6" s="69" t="s">
        <v>851</v>
      </c>
      <c r="BQ6" s="69" t="s">
        <v>440</v>
      </c>
      <c r="BR6" s="57" t="s">
        <v>852</v>
      </c>
      <c r="BS6" s="52"/>
      <c r="BT6" s="56"/>
      <c r="BU6" s="56"/>
      <c r="BV6" s="70"/>
      <c r="BW6" s="60">
        <v>100</v>
      </c>
      <c r="BX6" s="71">
        <v>0</v>
      </c>
      <c r="BY6" s="56" t="s">
        <v>149</v>
      </c>
      <c r="BZ6" s="56"/>
      <c r="CA6" s="56" t="s">
        <v>831</v>
      </c>
      <c r="CB6" s="72"/>
      <c r="CC6" s="72"/>
      <c r="CD6" s="71"/>
      <c r="CE6" s="56" t="s">
        <v>832</v>
      </c>
      <c r="CF6" s="57" t="s">
        <v>833</v>
      </c>
      <c r="CG6" s="60" t="s">
        <v>834</v>
      </c>
      <c r="CH6" s="71" t="s">
        <v>835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853</v>
      </c>
      <c r="D7" s="50"/>
      <c r="E7" s="51">
        <v>5700</v>
      </c>
      <c r="F7" s="52" t="s">
        <v>134</v>
      </c>
      <c r="G7" s="53" t="s">
        <v>819</v>
      </c>
      <c r="H7" s="52" t="s">
        <v>844</v>
      </c>
      <c r="I7" s="59" t="s">
        <v>845</v>
      </c>
      <c r="J7" s="54" t="s">
        <v>854</v>
      </c>
      <c r="K7" s="55" t="s">
        <v>855</v>
      </c>
      <c r="L7" s="55"/>
      <c r="M7" s="56" t="s">
        <v>856</v>
      </c>
      <c r="N7" s="57" t="s">
        <v>857</v>
      </c>
      <c r="O7" s="78" t="s">
        <v>146</v>
      </c>
      <c r="P7" s="59" t="s">
        <v>146</v>
      </c>
      <c r="Q7" s="60" t="s">
        <v>826</v>
      </c>
      <c r="R7" s="61" t="s">
        <v>827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858</v>
      </c>
      <c r="AP7" s="68">
        <v>46307</v>
      </c>
      <c r="AQ7" s="64">
        <f>WEEKDAY(Sheet_1_Table_1_13[[#This Row],[Lesson 1 
Date 
(DD-MMM-YYYY)]])</f>
        <v>2</v>
      </c>
      <c r="AR7" s="65">
        <v>0.8125</v>
      </c>
      <c r="AS7" s="66">
        <v>0.89583333333333337</v>
      </c>
      <c r="AT7" s="67" t="s">
        <v>858</v>
      </c>
      <c r="AU7" s="63">
        <v>46321</v>
      </c>
      <c r="AV7" s="64">
        <f>WEEKDAY(Sheet_1_Table_1_13[[#This Row],[Lesson 1 
Date 
(DD-MMM-YYYY)]])</f>
        <v>2</v>
      </c>
      <c r="AW7" s="65">
        <v>0.8125</v>
      </c>
      <c r="AX7" s="66">
        <v>0.89583333333333337</v>
      </c>
      <c r="AY7" s="67" t="s">
        <v>858</v>
      </c>
      <c r="AZ7" s="68">
        <v>46328</v>
      </c>
      <c r="BA7" s="64">
        <f>WEEKDAY(Sheet_1_Table_1_13[[#This Row],[Lesson 1 
Date 
(DD-MMM-YYYY)]])</f>
        <v>2</v>
      </c>
      <c r="BB7" s="65">
        <v>0.8125</v>
      </c>
      <c r="BC7" s="66">
        <v>0.89583333333333337</v>
      </c>
      <c r="BD7" s="67" t="s">
        <v>858</v>
      </c>
      <c r="BE7" s="63">
        <v>46335</v>
      </c>
      <c r="BF7" s="64">
        <f>WEEKDAY(Sheet_1_Table_1_13[[#This Row],[Lesson 1 
Date 
(DD-MMM-YYYY)]])</f>
        <v>2</v>
      </c>
      <c r="BG7" s="65">
        <v>0.8125</v>
      </c>
      <c r="BH7" s="66">
        <v>0.89583333333333337</v>
      </c>
      <c r="BI7" s="67" t="s">
        <v>858</v>
      </c>
      <c r="BJ7" s="68">
        <v>46342</v>
      </c>
      <c r="BK7" s="64">
        <f>WEEKDAY(Sheet_1_Table_1_13[[#This Row],[Lesson 1 
Date 
(DD-MMM-YYYY)]])</f>
        <v>2</v>
      </c>
      <c r="BL7" s="65">
        <v>0.8125</v>
      </c>
      <c r="BM7" s="66">
        <v>0.89583333333333337</v>
      </c>
      <c r="BN7" s="67" t="s">
        <v>858</v>
      </c>
      <c r="BO7" s="54" t="s">
        <v>291</v>
      </c>
      <c r="BP7" s="69" t="s">
        <v>859</v>
      </c>
      <c r="BQ7" s="69" t="s">
        <v>860</v>
      </c>
      <c r="BR7" s="57" t="s">
        <v>861</v>
      </c>
      <c r="BS7" s="52"/>
      <c r="BT7" s="56"/>
      <c r="BU7" s="56"/>
      <c r="BV7" s="70"/>
      <c r="BW7" s="60">
        <v>100</v>
      </c>
      <c r="BX7" s="71">
        <v>0</v>
      </c>
      <c r="BY7" s="56" t="s">
        <v>149</v>
      </c>
      <c r="BZ7" s="56"/>
      <c r="CA7" s="56" t="s">
        <v>831</v>
      </c>
      <c r="CB7" s="72"/>
      <c r="CC7" s="72"/>
      <c r="CD7" s="71"/>
      <c r="CE7" s="56" t="s">
        <v>832</v>
      </c>
      <c r="CF7" s="57" t="s">
        <v>833</v>
      </c>
      <c r="CG7" s="60" t="s">
        <v>834</v>
      </c>
      <c r="CH7" s="71" t="s">
        <v>835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862</v>
      </c>
      <c r="D8" s="50"/>
      <c r="E8" s="51">
        <v>5703</v>
      </c>
      <c r="F8" s="52" t="s">
        <v>134</v>
      </c>
      <c r="G8" s="53" t="s">
        <v>819</v>
      </c>
      <c r="H8" s="52" t="s">
        <v>844</v>
      </c>
      <c r="I8" s="59" t="s">
        <v>845</v>
      </c>
      <c r="J8" s="54" t="s">
        <v>863</v>
      </c>
      <c r="K8" s="55" t="s">
        <v>864</v>
      </c>
      <c r="L8" s="55"/>
      <c r="M8" s="56" t="s">
        <v>865</v>
      </c>
      <c r="N8" s="57" t="s">
        <v>866</v>
      </c>
      <c r="O8" s="78" t="s">
        <v>146</v>
      </c>
      <c r="P8" s="59" t="s">
        <v>146</v>
      </c>
      <c r="Q8" s="60" t="s">
        <v>826</v>
      </c>
      <c r="R8" s="61" t="s">
        <v>827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850</v>
      </c>
      <c r="AP8" s="68">
        <v>46307</v>
      </c>
      <c r="AQ8" s="64">
        <f>WEEKDAY(Sheet_1_Table_1_13[[#This Row],[Lesson 1 
Date 
(DD-MMM-YYYY)]])</f>
        <v>2</v>
      </c>
      <c r="AR8" s="65">
        <v>0.70833333333333337</v>
      </c>
      <c r="AS8" s="66">
        <v>0.77083333333333337</v>
      </c>
      <c r="AT8" s="93" t="s">
        <v>850</v>
      </c>
      <c r="AU8" s="63">
        <v>46321</v>
      </c>
      <c r="AV8" s="64">
        <f>WEEKDAY(Sheet_1_Table_1_13[[#This Row],[Lesson 1 
Date 
(DD-MMM-YYYY)]])</f>
        <v>2</v>
      </c>
      <c r="AW8" s="65">
        <v>0.70833333333333337</v>
      </c>
      <c r="AX8" s="66">
        <v>0.77083333333333337</v>
      </c>
      <c r="AY8" s="93" t="s">
        <v>850</v>
      </c>
      <c r="AZ8" s="68">
        <v>46328</v>
      </c>
      <c r="BA8" s="64">
        <f>WEEKDAY(Sheet_1_Table_1_13[[#This Row],[Lesson 1 
Date 
(DD-MMM-YYYY)]])</f>
        <v>2</v>
      </c>
      <c r="BB8" s="65">
        <v>0.70833333333333337</v>
      </c>
      <c r="BC8" s="66">
        <v>0.77083333333333337</v>
      </c>
      <c r="BD8" s="93" t="s">
        <v>850</v>
      </c>
      <c r="BE8" s="63">
        <v>46335</v>
      </c>
      <c r="BF8" s="64">
        <f>WEEKDAY(Sheet_1_Table_1_13[[#This Row],[Lesson 1 
Date 
(DD-MMM-YYYY)]])</f>
        <v>2</v>
      </c>
      <c r="BG8" s="65">
        <v>0.70833333333333337</v>
      </c>
      <c r="BH8" s="66">
        <v>0.77083333333333337</v>
      </c>
      <c r="BI8" s="93" t="s">
        <v>850</v>
      </c>
      <c r="BJ8" s="68">
        <v>46342</v>
      </c>
      <c r="BK8" s="64">
        <f>WEEKDAY(Sheet_1_Table_1_13[[#This Row],[Lesson 1 
Date 
(DD-MMM-YYYY)]])</f>
        <v>2</v>
      </c>
      <c r="BL8" s="65">
        <v>0.70833333333333337</v>
      </c>
      <c r="BM8" s="66">
        <v>0.77083333333333337</v>
      </c>
      <c r="BN8" s="93" t="s">
        <v>850</v>
      </c>
      <c r="BO8" s="54" t="s">
        <v>291</v>
      </c>
      <c r="BP8" s="69" t="s">
        <v>851</v>
      </c>
      <c r="BQ8" s="69" t="s">
        <v>440</v>
      </c>
      <c r="BR8" s="57" t="s">
        <v>852</v>
      </c>
      <c r="BS8" s="52"/>
      <c r="BT8" s="56"/>
      <c r="BU8" s="56"/>
      <c r="BV8" s="70"/>
      <c r="BW8" s="60">
        <v>100</v>
      </c>
      <c r="BX8" s="71">
        <v>0</v>
      </c>
      <c r="BY8" s="56" t="s">
        <v>149</v>
      </c>
      <c r="BZ8" s="56"/>
      <c r="CA8" s="56" t="s">
        <v>831</v>
      </c>
      <c r="CB8" s="72"/>
      <c r="CC8" s="72"/>
      <c r="CD8" s="71"/>
      <c r="CE8" s="56" t="s">
        <v>832</v>
      </c>
      <c r="CF8" s="57" t="s">
        <v>833</v>
      </c>
      <c r="CG8" s="60" t="s">
        <v>834</v>
      </c>
      <c r="CH8" s="71" t="s">
        <v>835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867</v>
      </c>
      <c r="D9" s="50"/>
      <c r="E9" s="51">
        <v>5705</v>
      </c>
      <c r="F9" s="52" t="s">
        <v>134</v>
      </c>
      <c r="G9" s="53" t="s">
        <v>819</v>
      </c>
      <c r="H9" s="52" t="s">
        <v>844</v>
      </c>
      <c r="I9" s="59" t="s">
        <v>845</v>
      </c>
      <c r="J9" s="54" t="s">
        <v>868</v>
      </c>
      <c r="K9" s="55" t="s">
        <v>869</v>
      </c>
      <c r="L9" s="55">
        <v>1</v>
      </c>
      <c r="M9" s="56" t="s">
        <v>870</v>
      </c>
      <c r="N9" s="57" t="s">
        <v>871</v>
      </c>
      <c r="O9" s="78" t="s">
        <v>146</v>
      </c>
      <c r="P9" s="59" t="s">
        <v>146</v>
      </c>
      <c r="Q9" s="60" t="s">
        <v>826</v>
      </c>
      <c r="R9" s="77" t="s">
        <v>827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872</v>
      </c>
      <c r="AP9" s="68">
        <v>46307</v>
      </c>
      <c r="AQ9" s="64">
        <f>WEEKDAY(Sheet_1_Table_1_13[[#This Row],[Lesson 1 
Date 
(DD-MMM-YYYY)]])</f>
        <v>2</v>
      </c>
      <c r="AR9" s="65">
        <v>0.64583333333333337</v>
      </c>
      <c r="AS9" s="66">
        <v>0.70833333333333337</v>
      </c>
      <c r="AT9" s="94" t="s">
        <v>872</v>
      </c>
      <c r="AU9" s="63">
        <v>46321</v>
      </c>
      <c r="AV9" s="64">
        <f>WEEKDAY(Sheet_1_Table_1_13[[#This Row],[Lesson 1 
Date 
(DD-MMM-YYYY)]])</f>
        <v>2</v>
      </c>
      <c r="AW9" s="65">
        <v>0.64583333333333337</v>
      </c>
      <c r="AX9" s="66">
        <v>0.70833333333333337</v>
      </c>
      <c r="AY9" s="94" t="s">
        <v>872</v>
      </c>
      <c r="AZ9" s="68">
        <v>46328</v>
      </c>
      <c r="BA9" s="64">
        <f>WEEKDAY(Sheet_1_Table_1_13[[#This Row],[Lesson 1 
Date 
(DD-MMM-YYYY)]])</f>
        <v>2</v>
      </c>
      <c r="BB9" s="65">
        <v>0.64583333333333337</v>
      </c>
      <c r="BC9" s="66">
        <v>0.70833333333333337</v>
      </c>
      <c r="BD9" s="94" t="s">
        <v>872</v>
      </c>
      <c r="BE9" s="63">
        <v>46335</v>
      </c>
      <c r="BF9" s="64">
        <f>WEEKDAY(Sheet_1_Table_1_13[[#This Row],[Lesson 1 
Date 
(DD-MMM-YYYY)]])</f>
        <v>2</v>
      </c>
      <c r="BG9" s="65">
        <v>0.64583333333333337</v>
      </c>
      <c r="BH9" s="66">
        <v>0.70833333333333337</v>
      </c>
      <c r="BI9" s="94" t="s">
        <v>872</v>
      </c>
      <c r="BJ9" s="68">
        <v>46342</v>
      </c>
      <c r="BK9" s="64">
        <f>WEEKDAY(Sheet_1_Table_1_13[[#This Row],[Lesson 1 
Date 
(DD-MMM-YYYY)]])</f>
        <v>2</v>
      </c>
      <c r="BL9" s="65">
        <v>0.64583333333333337</v>
      </c>
      <c r="BM9" s="66">
        <v>0.70833333333333337</v>
      </c>
      <c r="BN9" s="94" t="s">
        <v>872</v>
      </c>
      <c r="BO9" s="54" t="s">
        <v>291</v>
      </c>
      <c r="BP9" s="69" t="s">
        <v>873</v>
      </c>
      <c r="BQ9" s="69" t="s">
        <v>521</v>
      </c>
      <c r="BR9" s="57" t="s">
        <v>874</v>
      </c>
      <c r="BS9" s="52"/>
      <c r="BT9" s="56"/>
      <c r="BU9" s="56"/>
      <c r="BV9" s="70"/>
      <c r="BW9" s="60">
        <v>100</v>
      </c>
      <c r="BX9" s="71">
        <v>0</v>
      </c>
      <c r="BY9" s="56" t="s">
        <v>149</v>
      </c>
      <c r="BZ9" s="56"/>
      <c r="CA9" s="56" t="s">
        <v>831</v>
      </c>
      <c r="CB9" s="72"/>
      <c r="CC9" s="72"/>
      <c r="CD9" s="71"/>
      <c r="CE9" s="56" t="s">
        <v>832</v>
      </c>
      <c r="CF9" s="57" t="s">
        <v>833</v>
      </c>
      <c r="CG9" s="60" t="s">
        <v>834</v>
      </c>
      <c r="CH9" s="71" t="s">
        <v>835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867</v>
      </c>
      <c r="D10" s="50"/>
      <c r="E10" s="51">
        <v>5706</v>
      </c>
      <c r="F10" s="52" t="s">
        <v>134</v>
      </c>
      <c r="G10" s="53" t="s">
        <v>819</v>
      </c>
      <c r="H10" s="52" t="s">
        <v>844</v>
      </c>
      <c r="I10" s="59" t="s">
        <v>845</v>
      </c>
      <c r="J10" s="54" t="s">
        <v>868</v>
      </c>
      <c r="K10" s="55" t="s">
        <v>869</v>
      </c>
      <c r="L10" s="55">
        <v>2</v>
      </c>
      <c r="M10" s="56" t="s">
        <v>870</v>
      </c>
      <c r="N10" s="57" t="s">
        <v>871</v>
      </c>
      <c r="O10" s="78" t="s">
        <v>146</v>
      </c>
      <c r="P10" s="59" t="s">
        <v>146</v>
      </c>
      <c r="Q10" s="60" t="s">
        <v>826</v>
      </c>
      <c r="R10" s="61" t="s">
        <v>827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872</v>
      </c>
      <c r="AP10" s="68">
        <v>46307</v>
      </c>
      <c r="AQ10" s="64">
        <f>WEEKDAY(Sheet_1_Table_1_13[[#This Row],[Lesson 1 
Date 
(DD-MMM-YYYY)]])</f>
        <v>2</v>
      </c>
      <c r="AR10" s="65">
        <v>0.70833333333333337</v>
      </c>
      <c r="AS10" s="66">
        <v>0.77083333333333337</v>
      </c>
      <c r="AT10" s="94" t="s">
        <v>872</v>
      </c>
      <c r="AU10" s="63">
        <v>46321</v>
      </c>
      <c r="AV10" s="64">
        <f>WEEKDAY(Sheet_1_Table_1_13[[#This Row],[Lesson 1 
Date 
(DD-MMM-YYYY)]])</f>
        <v>2</v>
      </c>
      <c r="AW10" s="65">
        <v>0.70833333333333337</v>
      </c>
      <c r="AX10" s="66">
        <v>0.77083333333333337</v>
      </c>
      <c r="AY10" s="94" t="s">
        <v>872</v>
      </c>
      <c r="AZ10" s="68">
        <v>46328</v>
      </c>
      <c r="BA10" s="64">
        <f>WEEKDAY(Sheet_1_Table_1_13[[#This Row],[Lesson 1 
Date 
(DD-MMM-YYYY)]])</f>
        <v>2</v>
      </c>
      <c r="BB10" s="65">
        <v>0.70833333333333337</v>
      </c>
      <c r="BC10" s="66">
        <v>0.77083333333333337</v>
      </c>
      <c r="BD10" s="94" t="s">
        <v>872</v>
      </c>
      <c r="BE10" s="63">
        <v>46335</v>
      </c>
      <c r="BF10" s="64">
        <f>WEEKDAY(Sheet_1_Table_1_13[[#This Row],[Lesson 1 
Date 
(DD-MMM-YYYY)]])</f>
        <v>2</v>
      </c>
      <c r="BG10" s="65">
        <v>0.70833333333333337</v>
      </c>
      <c r="BH10" s="66">
        <v>0.77083333333333337</v>
      </c>
      <c r="BI10" s="94" t="s">
        <v>872</v>
      </c>
      <c r="BJ10" s="68">
        <v>46342</v>
      </c>
      <c r="BK10" s="64">
        <f>WEEKDAY(Sheet_1_Table_1_13[[#This Row],[Lesson 1 
Date 
(DD-MMM-YYYY)]])</f>
        <v>2</v>
      </c>
      <c r="BL10" s="65">
        <v>0.70833333333333337</v>
      </c>
      <c r="BM10" s="66">
        <v>0.77083333333333337</v>
      </c>
      <c r="BN10" s="94" t="s">
        <v>872</v>
      </c>
      <c r="BO10" s="54" t="s">
        <v>291</v>
      </c>
      <c r="BP10" s="69" t="s">
        <v>873</v>
      </c>
      <c r="BQ10" s="69" t="s">
        <v>521</v>
      </c>
      <c r="BR10" s="57" t="s">
        <v>874</v>
      </c>
      <c r="BS10" s="52"/>
      <c r="BT10" s="56"/>
      <c r="BU10" s="56"/>
      <c r="BV10" s="70"/>
      <c r="BW10" s="60">
        <v>100</v>
      </c>
      <c r="BX10" s="71">
        <v>0</v>
      </c>
      <c r="BY10" s="56" t="s">
        <v>149</v>
      </c>
      <c r="BZ10" s="56"/>
      <c r="CA10" s="56" t="s">
        <v>831</v>
      </c>
      <c r="CB10" s="72"/>
      <c r="CC10" s="72"/>
      <c r="CD10" s="71"/>
      <c r="CE10" s="56" t="s">
        <v>832</v>
      </c>
      <c r="CF10" s="57" t="s">
        <v>833</v>
      </c>
      <c r="CG10" s="60" t="s">
        <v>834</v>
      </c>
      <c r="CH10" s="71" t="s">
        <v>835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875</v>
      </c>
      <c r="D11" s="50"/>
      <c r="E11" s="51">
        <v>5677</v>
      </c>
      <c r="F11" s="52" t="s">
        <v>134</v>
      </c>
      <c r="G11" s="53" t="s">
        <v>819</v>
      </c>
      <c r="H11" s="95" t="s">
        <v>820</v>
      </c>
      <c r="I11" s="81" t="s">
        <v>821</v>
      </c>
      <c r="J11" s="54" t="s">
        <v>876</v>
      </c>
      <c r="K11" s="55" t="s">
        <v>877</v>
      </c>
      <c r="L11" s="55">
        <v>1</v>
      </c>
      <c r="M11" s="56" t="s">
        <v>878</v>
      </c>
      <c r="N11" s="57" t="s">
        <v>879</v>
      </c>
      <c r="O11" s="58" t="s">
        <v>146</v>
      </c>
      <c r="P11" s="96" t="s">
        <v>146</v>
      </c>
      <c r="Q11" s="60" t="s">
        <v>826</v>
      </c>
      <c r="R11" s="77" t="s">
        <v>827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828</v>
      </c>
      <c r="AP11" s="68">
        <v>46308</v>
      </c>
      <c r="AQ11" s="64">
        <f>WEEKDAY(Sheet_1_Table_1_13[[#This Row],[Lesson 1 
Date 
(DD-MMM-YYYY)]])</f>
        <v>3</v>
      </c>
      <c r="AR11" s="65">
        <v>0.4375</v>
      </c>
      <c r="AS11" s="66">
        <v>0.5</v>
      </c>
      <c r="AT11" s="67" t="s">
        <v>828</v>
      </c>
      <c r="AU11" s="63">
        <v>46315</v>
      </c>
      <c r="AV11" s="64">
        <f>WEEKDAY(Sheet_1_Table_1_13[[#This Row],[Lesson 1 
Date 
(DD-MMM-YYYY)]])</f>
        <v>3</v>
      </c>
      <c r="AW11" s="65">
        <v>0.4375</v>
      </c>
      <c r="AX11" s="66">
        <v>0.5</v>
      </c>
      <c r="AY11" s="67" t="s">
        <v>828</v>
      </c>
      <c r="AZ11" s="98">
        <v>46322</v>
      </c>
      <c r="BA11" s="64">
        <f>WEEKDAY(Sheet_1_Table_1_13[[#This Row],[Lesson 1 
Date 
(DD-MMM-YYYY)]])</f>
        <v>3</v>
      </c>
      <c r="BB11" s="65">
        <v>0.4375</v>
      </c>
      <c r="BC11" s="66">
        <v>0.5</v>
      </c>
      <c r="BD11" s="67" t="s">
        <v>828</v>
      </c>
      <c r="BE11" s="63">
        <v>46329</v>
      </c>
      <c r="BF11" s="64">
        <f>WEEKDAY(Sheet_1_Table_1_13[[#This Row],[Lesson 1 
Date 
(DD-MMM-YYYY)]])</f>
        <v>3</v>
      </c>
      <c r="BG11" s="65">
        <v>0.4375</v>
      </c>
      <c r="BH11" s="66">
        <v>0.5</v>
      </c>
      <c r="BI11" s="67" t="s">
        <v>828</v>
      </c>
      <c r="BJ11" s="98">
        <v>46336</v>
      </c>
      <c r="BK11" s="64">
        <f>WEEKDAY(Sheet_1_Table_1_13[[#This Row],[Lesson 1 
Date 
(DD-MMM-YYYY)]])</f>
        <v>3</v>
      </c>
      <c r="BL11" s="65">
        <v>0.4375</v>
      </c>
      <c r="BM11" s="66">
        <v>0.5</v>
      </c>
      <c r="BN11" s="67" t="s">
        <v>828</v>
      </c>
      <c r="BO11" s="54" t="s">
        <v>291</v>
      </c>
      <c r="BP11" s="69" t="s">
        <v>880</v>
      </c>
      <c r="BQ11" s="69" t="s">
        <v>521</v>
      </c>
      <c r="BR11" s="57" t="s">
        <v>881</v>
      </c>
      <c r="BS11" s="54"/>
      <c r="BT11" s="56"/>
      <c r="BU11" s="56"/>
      <c r="BV11" s="57"/>
      <c r="BW11" s="60">
        <v>100</v>
      </c>
      <c r="BX11" s="71">
        <v>0</v>
      </c>
      <c r="BY11" s="56" t="s">
        <v>149</v>
      </c>
      <c r="BZ11" s="56"/>
      <c r="CA11" s="56" t="s">
        <v>831</v>
      </c>
      <c r="CB11" s="72"/>
      <c r="CC11" s="72"/>
      <c r="CD11" s="72"/>
      <c r="CE11" s="56" t="s">
        <v>832</v>
      </c>
      <c r="CF11" s="57" t="s">
        <v>833</v>
      </c>
      <c r="CG11" s="60" t="s">
        <v>834</v>
      </c>
      <c r="CH11" s="71" t="s">
        <v>835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875</v>
      </c>
      <c r="D12" s="50"/>
      <c r="E12" s="51">
        <v>5678</v>
      </c>
      <c r="F12" s="52" t="s">
        <v>134</v>
      </c>
      <c r="G12" s="53" t="s">
        <v>819</v>
      </c>
      <c r="H12" s="95" t="s">
        <v>820</v>
      </c>
      <c r="I12" s="81" t="s">
        <v>821</v>
      </c>
      <c r="J12" s="54" t="s">
        <v>876</v>
      </c>
      <c r="K12" s="55" t="s">
        <v>877</v>
      </c>
      <c r="L12" s="55">
        <v>2</v>
      </c>
      <c r="M12" s="56" t="s">
        <v>878</v>
      </c>
      <c r="N12" s="57" t="s">
        <v>879</v>
      </c>
      <c r="O12" s="58" t="s">
        <v>146</v>
      </c>
      <c r="P12" s="96" t="s">
        <v>146</v>
      </c>
      <c r="Q12" s="60" t="s">
        <v>826</v>
      </c>
      <c r="R12" s="61" t="s">
        <v>827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828</v>
      </c>
      <c r="AP12" s="68">
        <v>46308</v>
      </c>
      <c r="AQ12" s="64">
        <f>WEEKDAY(Sheet_1_Table_1_13[[#This Row],[Lesson 1 
Date 
(DD-MMM-YYYY)]])</f>
        <v>3</v>
      </c>
      <c r="AR12" s="65">
        <v>0.5</v>
      </c>
      <c r="AS12" s="66">
        <v>0.5625</v>
      </c>
      <c r="AT12" s="67" t="s">
        <v>828</v>
      </c>
      <c r="AU12" s="63">
        <v>46315</v>
      </c>
      <c r="AV12" s="64">
        <f>WEEKDAY(Sheet_1_Table_1_13[[#This Row],[Lesson 1 
Date 
(DD-MMM-YYYY)]])</f>
        <v>3</v>
      </c>
      <c r="AW12" s="65">
        <v>0.5</v>
      </c>
      <c r="AX12" s="66">
        <v>0.5625</v>
      </c>
      <c r="AY12" s="67" t="s">
        <v>828</v>
      </c>
      <c r="AZ12" s="98">
        <v>46322</v>
      </c>
      <c r="BA12" s="64">
        <f>WEEKDAY(Sheet_1_Table_1_13[[#This Row],[Lesson 1 
Date 
(DD-MMM-YYYY)]])</f>
        <v>3</v>
      </c>
      <c r="BB12" s="65">
        <v>0.5</v>
      </c>
      <c r="BC12" s="66">
        <v>0.5625</v>
      </c>
      <c r="BD12" s="67" t="s">
        <v>828</v>
      </c>
      <c r="BE12" s="63">
        <v>46329</v>
      </c>
      <c r="BF12" s="64">
        <f>WEEKDAY(Sheet_1_Table_1_13[[#This Row],[Lesson 1 
Date 
(DD-MMM-YYYY)]])</f>
        <v>3</v>
      </c>
      <c r="BG12" s="65">
        <v>0.5</v>
      </c>
      <c r="BH12" s="66">
        <v>0.5625</v>
      </c>
      <c r="BI12" s="67" t="s">
        <v>828</v>
      </c>
      <c r="BJ12" s="98">
        <v>46336</v>
      </c>
      <c r="BK12" s="64">
        <f>WEEKDAY(Sheet_1_Table_1_13[[#This Row],[Lesson 1 
Date 
(DD-MMM-YYYY)]])</f>
        <v>3</v>
      </c>
      <c r="BL12" s="65">
        <v>0.5</v>
      </c>
      <c r="BM12" s="66">
        <v>0.5625</v>
      </c>
      <c r="BN12" s="99" t="s">
        <v>828</v>
      </c>
      <c r="BO12" s="54" t="s">
        <v>291</v>
      </c>
      <c r="BP12" s="69" t="s">
        <v>880</v>
      </c>
      <c r="BQ12" s="69" t="s">
        <v>521</v>
      </c>
      <c r="BR12" s="57" t="s">
        <v>881</v>
      </c>
      <c r="BS12" s="54"/>
      <c r="BT12" s="69"/>
      <c r="BU12" s="55"/>
      <c r="BV12" s="57"/>
      <c r="BW12" s="60">
        <v>100</v>
      </c>
      <c r="BX12" s="71">
        <v>0</v>
      </c>
      <c r="BY12" s="56" t="s">
        <v>149</v>
      </c>
      <c r="BZ12" s="56"/>
      <c r="CA12" s="56" t="s">
        <v>831</v>
      </c>
      <c r="CB12" s="72"/>
      <c r="CC12" s="72"/>
      <c r="CD12" s="72"/>
      <c r="CE12" s="56" t="s">
        <v>832</v>
      </c>
      <c r="CF12" s="57" t="s">
        <v>833</v>
      </c>
      <c r="CG12" s="60" t="s">
        <v>834</v>
      </c>
      <c r="CH12" s="71" t="s">
        <v>835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882</v>
      </c>
      <c r="D13" s="50"/>
      <c r="E13" s="51">
        <v>5685</v>
      </c>
      <c r="F13" s="52" t="s">
        <v>134</v>
      </c>
      <c r="G13" s="53" t="s">
        <v>819</v>
      </c>
      <c r="H13" s="97" t="s">
        <v>820</v>
      </c>
      <c r="I13" s="53" t="s">
        <v>821</v>
      </c>
      <c r="J13" s="54" t="s">
        <v>883</v>
      </c>
      <c r="K13" s="55" t="s">
        <v>884</v>
      </c>
      <c r="L13" s="55"/>
      <c r="M13" s="56" t="s">
        <v>885</v>
      </c>
      <c r="N13" s="57" t="s">
        <v>886</v>
      </c>
      <c r="O13" s="78" t="s">
        <v>146</v>
      </c>
      <c r="P13" s="96" t="s">
        <v>146</v>
      </c>
      <c r="Q13" s="60" t="s">
        <v>826</v>
      </c>
      <c r="R13" s="77" t="s">
        <v>827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850</v>
      </c>
      <c r="AP13" s="68">
        <v>46308</v>
      </c>
      <c r="AQ13" s="64">
        <f>WEEKDAY(Sheet_1_Table_1_13[[#This Row],[Lesson 1 
Date 
(DD-MMM-YYYY)]])</f>
        <v>3</v>
      </c>
      <c r="AR13" s="65">
        <v>0.47916666666666669</v>
      </c>
      <c r="AS13" s="66">
        <v>0.54166666666666663</v>
      </c>
      <c r="AT13" s="100" t="s">
        <v>850</v>
      </c>
      <c r="AU13" s="63">
        <v>46315</v>
      </c>
      <c r="AV13" s="64">
        <f>WEEKDAY(Sheet_1_Table_1_13[[#This Row],[Lesson 1 
Date 
(DD-MMM-YYYY)]])</f>
        <v>3</v>
      </c>
      <c r="AW13" s="65">
        <v>0.47916666666666669</v>
      </c>
      <c r="AX13" s="66">
        <v>0.54166666666666663</v>
      </c>
      <c r="AY13" s="100" t="s">
        <v>850</v>
      </c>
      <c r="AZ13" s="98">
        <v>46322</v>
      </c>
      <c r="BA13" s="64">
        <f>WEEKDAY(Sheet_1_Table_1_13[[#This Row],[Lesson 1 
Date 
(DD-MMM-YYYY)]])</f>
        <v>3</v>
      </c>
      <c r="BB13" s="65">
        <v>0.47916666666666669</v>
      </c>
      <c r="BC13" s="66">
        <v>0.54166666666666663</v>
      </c>
      <c r="BD13" s="100" t="s">
        <v>850</v>
      </c>
      <c r="BE13" s="63">
        <v>46329</v>
      </c>
      <c r="BF13" s="64">
        <f>WEEKDAY(Sheet_1_Table_1_13[[#This Row],[Lesson 1 
Date 
(DD-MMM-YYYY)]])</f>
        <v>3</v>
      </c>
      <c r="BG13" s="65">
        <v>0.47916666666666669</v>
      </c>
      <c r="BH13" s="66">
        <v>0.54166666666666663</v>
      </c>
      <c r="BI13" s="100" t="s">
        <v>850</v>
      </c>
      <c r="BJ13" s="98">
        <v>46336</v>
      </c>
      <c r="BK13" s="64">
        <f>WEEKDAY(Sheet_1_Table_1_13[[#This Row],[Lesson 1 
Date 
(DD-MMM-YYYY)]])</f>
        <v>3</v>
      </c>
      <c r="BL13" s="65">
        <v>0.47916666666666669</v>
      </c>
      <c r="BM13" s="66">
        <v>0.54166666666666663</v>
      </c>
      <c r="BN13" s="100" t="s">
        <v>850</v>
      </c>
      <c r="BO13" s="54" t="s">
        <v>291</v>
      </c>
      <c r="BP13" s="69" t="s">
        <v>887</v>
      </c>
      <c r="BQ13" s="69" t="s">
        <v>888</v>
      </c>
      <c r="BR13" s="57" t="s">
        <v>889</v>
      </c>
      <c r="BS13" s="52"/>
      <c r="BT13" s="56"/>
      <c r="BU13" s="56"/>
      <c r="BV13" s="70"/>
      <c r="BW13" s="60">
        <v>100</v>
      </c>
      <c r="BX13" s="71">
        <v>0</v>
      </c>
      <c r="BY13" s="56" t="s">
        <v>149</v>
      </c>
      <c r="BZ13" s="56"/>
      <c r="CA13" s="56" t="s">
        <v>831</v>
      </c>
      <c r="CB13" s="72"/>
      <c r="CC13" s="72"/>
      <c r="CD13" s="71"/>
      <c r="CE13" s="56" t="s">
        <v>832</v>
      </c>
      <c r="CF13" s="57" t="s">
        <v>833</v>
      </c>
      <c r="CG13" s="60" t="s">
        <v>834</v>
      </c>
      <c r="CH13" s="71" t="s">
        <v>835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890</v>
      </c>
      <c r="D14" s="50"/>
      <c r="E14" s="51">
        <v>5681</v>
      </c>
      <c r="F14" s="52" t="s">
        <v>134</v>
      </c>
      <c r="G14" s="53" t="s">
        <v>819</v>
      </c>
      <c r="H14" s="97" t="s">
        <v>820</v>
      </c>
      <c r="I14" s="53" t="s">
        <v>821</v>
      </c>
      <c r="J14" s="54" t="s">
        <v>891</v>
      </c>
      <c r="K14" s="55" t="s">
        <v>892</v>
      </c>
      <c r="L14" s="55"/>
      <c r="M14" s="56" t="s">
        <v>893</v>
      </c>
      <c r="N14" s="57" t="s">
        <v>894</v>
      </c>
      <c r="O14" s="78" t="s">
        <v>146</v>
      </c>
      <c r="P14" s="96" t="s">
        <v>146</v>
      </c>
      <c r="Q14" s="60" t="s">
        <v>826</v>
      </c>
      <c r="R14" s="61" t="s">
        <v>827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895</v>
      </c>
      <c r="AP14" s="68">
        <v>46308</v>
      </c>
      <c r="AQ14" s="64">
        <f>WEEKDAY(Sheet_1_Table_1_13[[#This Row],[Lesson 1 
Date 
(DD-MMM-YYYY)]])</f>
        <v>3</v>
      </c>
      <c r="AR14" s="65">
        <v>0.6875</v>
      </c>
      <c r="AS14" s="66">
        <v>0.75</v>
      </c>
      <c r="AT14" s="102" t="s">
        <v>895</v>
      </c>
      <c r="AU14" s="63">
        <v>46315</v>
      </c>
      <c r="AV14" s="64">
        <f>WEEKDAY(Sheet_1_Table_1_13[[#This Row],[Lesson 1 
Date 
(DD-MMM-YYYY)]])</f>
        <v>3</v>
      </c>
      <c r="AW14" s="65">
        <v>0.6875</v>
      </c>
      <c r="AX14" s="66">
        <v>0.75</v>
      </c>
      <c r="AY14" s="102" t="s">
        <v>895</v>
      </c>
      <c r="AZ14" s="98">
        <v>46322</v>
      </c>
      <c r="BA14" s="64">
        <f>WEEKDAY(Sheet_1_Table_1_13[[#This Row],[Lesson 1 
Date 
(DD-MMM-YYYY)]])</f>
        <v>3</v>
      </c>
      <c r="BB14" s="65">
        <v>0.6875</v>
      </c>
      <c r="BC14" s="66">
        <v>0.75</v>
      </c>
      <c r="BD14" s="102" t="s">
        <v>895</v>
      </c>
      <c r="BE14" s="63">
        <v>46329</v>
      </c>
      <c r="BF14" s="64">
        <f>WEEKDAY(Sheet_1_Table_1_13[[#This Row],[Lesson 1 
Date 
(DD-MMM-YYYY)]])</f>
        <v>3</v>
      </c>
      <c r="BG14" s="65">
        <v>0.6875</v>
      </c>
      <c r="BH14" s="66">
        <v>0.75</v>
      </c>
      <c r="BI14" s="102" t="s">
        <v>895</v>
      </c>
      <c r="BJ14" s="98">
        <v>46336</v>
      </c>
      <c r="BK14" s="64">
        <f>WEEKDAY(Sheet_1_Table_1_13[[#This Row],[Lesson 1 
Date 
(DD-MMM-YYYY)]])</f>
        <v>3</v>
      </c>
      <c r="BL14" s="65">
        <v>0.6875</v>
      </c>
      <c r="BM14" s="66">
        <v>0.75</v>
      </c>
      <c r="BN14" s="102" t="s">
        <v>895</v>
      </c>
      <c r="BO14" s="54" t="s">
        <v>291</v>
      </c>
      <c r="BP14" s="69" t="s">
        <v>896</v>
      </c>
      <c r="BQ14" s="69" t="s">
        <v>897</v>
      </c>
      <c r="BR14" s="57" t="s">
        <v>898</v>
      </c>
      <c r="BS14" s="52"/>
      <c r="BT14" s="56"/>
      <c r="BU14" s="56"/>
      <c r="BV14" s="70"/>
      <c r="BW14" s="60">
        <v>100</v>
      </c>
      <c r="BX14" s="71">
        <v>0</v>
      </c>
      <c r="BY14" s="56" t="s">
        <v>149</v>
      </c>
      <c r="BZ14" s="56"/>
      <c r="CA14" s="56" t="s">
        <v>831</v>
      </c>
      <c r="CB14" s="72"/>
      <c r="CC14" s="72"/>
      <c r="CD14" s="71"/>
      <c r="CE14" s="56" t="s">
        <v>832</v>
      </c>
      <c r="CF14" s="57" t="s">
        <v>833</v>
      </c>
      <c r="CG14" s="60" t="s">
        <v>834</v>
      </c>
      <c r="CH14" s="71" t="s">
        <v>835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899</v>
      </c>
      <c r="D15" s="50"/>
      <c r="E15" s="51">
        <v>5704</v>
      </c>
      <c r="F15" s="52" t="s">
        <v>134</v>
      </c>
      <c r="G15" s="53" t="s">
        <v>819</v>
      </c>
      <c r="H15" s="97" t="s">
        <v>844</v>
      </c>
      <c r="I15" s="53" t="s">
        <v>845</v>
      </c>
      <c r="J15" s="54" t="s">
        <v>900</v>
      </c>
      <c r="K15" s="55" t="s">
        <v>901</v>
      </c>
      <c r="L15" s="55"/>
      <c r="M15" s="56" t="s">
        <v>902</v>
      </c>
      <c r="N15" s="57" t="s">
        <v>903</v>
      </c>
      <c r="O15" s="78" t="s">
        <v>146</v>
      </c>
      <c r="P15" s="96" t="s">
        <v>146</v>
      </c>
      <c r="Q15" s="60" t="s">
        <v>826</v>
      </c>
      <c r="R15" s="77" t="s">
        <v>827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850</v>
      </c>
      <c r="AP15" s="68">
        <v>46308</v>
      </c>
      <c r="AQ15" s="64">
        <f>WEEKDAY(Sheet_1_Table_1_13[[#This Row],[Lesson 1 
Date 
(DD-MMM-YYYY)]])</f>
        <v>3</v>
      </c>
      <c r="AR15" s="65">
        <v>0.72916666666666663</v>
      </c>
      <c r="AS15" s="66">
        <v>0.8125</v>
      </c>
      <c r="AT15" s="92" t="s">
        <v>850</v>
      </c>
      <c r="AU15" s="63">
        <v>46315</v>
      </c>
      <c r="AV15" s="64">
        <f>WEEKDAY(Sheet_1_Table_1_13[[#This Row],[Lesson 1 
Date 
(DD-MMM-YYYY)]])</f>
        <v>3</v>
      </c>
      <c r="AW15" s="65">
        <v>0.72916666666666663</v>
      </c>
      <c r="AX15" s="66">
        <v>0.8125</v>
      </c>
      <c r="AY15" s="92" t="s">
        <v>850</v>
      </c>
      <c r="AZ15" s="98">
        <v>46322</v>
      </c>
      <c r="BA15" s="64">
        <f>WEEKDAY(Sheet_1_Table_1_13[[#This Row],[Lesson 1 
Date 
(DD-MMM-YYYY)]])</f>
        <v>3</v>
      </c>
      <c r="BB15" s="65">
        <v>0.72916666666666663</v>
      </c>
      <c r="BC15" s="66">
        <v>0.8125</v>
      </c>
      <c r="BD15" s="92" t="s">
        <v>850</v>
      </c>
      <c r="BE15" s="63">
        <v>46329</v>
      </c>
      <c r="BF15" s="64">
        <f>WEEKDAY(Sheet_1_Table_1_13[[#This Row],[Lesson 1 
Date 
(DD-MMM-YYYY)]])</f>
        <v>3</v>
      </c>
      <c r="BG15" s="65">
        <v>0.72916666666666663</v>
      </c>
      <c r="BH15" s="66">
        <v>0.8125</v>
      </c>
      <c r="BI15" s="92" t="s">
        <v>850</v>
      </c>
      <c r="BJ15" s="98">
        <v>46336</v>
      </c>
      <c r="BK15" s="64">
        <f>WEEKDAY(Sheet_1_Table_1_13[[#This Row],[Lesson 1 
Date 
(DD-MMM-YYYY)]])</f>
        <v>3</v>
      </c>
      <c r="BL15" s="65">
        <v>0.72916666666666663</v>
      </c>
      <c r="BM15" s="66">
        <v>0.8125</v>
      </c>
      <c r="BN15" s="92" t="s">
        <v>850</v>
      </c>
      <c r="BO15" s="54" t="s">
        <v>291</v>
      </c>
      <c r="BP15" s="69" t="s">
        <v>904</v>
      </c>
      <c r="BQ15" s="69" t="s">
        <v>905</v>
      </c>
      <c r="BR15" s="57" t="s">
        <v>906</v>
      </c>
      <c r="BS15" s="54"/>
      <c r="BT15" s="56"/>
      <c r="BU15" s="56"/>
      <c r="BV15" s="57"/>
      <c r="BW15" s="60">
        <v>100</v>
      </c>
      <c r="BX15" s="71">
        <v>0</v>
      </c>
      <c r="BY15" s="56" t="s">
        <v>149</v>
      </c>
      <c r="BZ15" s="56"/>
      <c r="CA15" s="56" t="s">
        <v>831</v>
      </c>
      <c r="CB15" s="72"/>
      <c r="CC15" s="72"/>
      <c r="CD15" s="72"/>
      <c r="CE15" s="56" t="s">
        <v>832</v>
      </c>
      <c r="CF15" s="57" t="s">
        <v>833</v>
      </c>
      <c r="CG15" s="60" t="s">
        <v>834</v>
      </c>
      <c r="CH15" s="71" t="s">
        <v>835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907</v>
      </c>
      <c r="D16" s="50"/>
      <c r="E16" s="51">
        <v>5686</v>
      </c>
      <c r="F16" s="52" t="s">
        <v>134</v>
      </c>
      <c r="G16" s="53" t="s">
        <v>819</v>
      </c>
      <c r="H16" s="97" t="s">
        <v>820</v>
      </c>
      <c r="I16" s="53" t="s">
        <v>821</v>
      </c>
      <c r="J16" s="54" t="s">
        <v>908</v>
      </c>
      <c r="K16" s="55" t="s">
        <v>909</v>
      </c>
      <c r="L16" s="55">
        <v>1</v>
      </c>
      <c r="M16" s="56" t="s">
        <v>910</v>
      </c>
      <c r="N16" s="57" t="s">
        <v>911</v>
      </c>
      <c r="O16" s="58" t="s">
        <v>146</v>
      </c>
      <c r="P16" s="96" t="s">
        <v>146</v>
      </c>
      <c r="Q16" s="60" t="s">
        <v>826</v>
      </c>
      <c r="R16" s="61" t="s">
        <v>827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912</v>
      </c>
      <c r="AP16" s="68">
        <v>46309</v>
      </c>
      <c r="AQ16" s="64">
        <f>WEEKDAY(Sheet_1_Table_1_13[[#This Row],[Lesson 1 
Date 
(DD-MMM-YYYY)]])</f>
        <v>4</v>
      </c>
      <c r="AR16" s="65">
        <v>0.41666666666666669</v>
      </c>
      <c r="AS16" s="66">
        <v>0.47916666666666669</v>
      </c>
      <c r="AT16" s="103" t="s">
        <v>912</v>
      </c>
      <c r="AU16" s="63">
        <v>46316</v>
      </c>
      <c r="AV16" s="64">
        <f>WEEKDAY(Sheet_1_Table_1_13[[#This Row],[Lesson 1 
Date 
(DD-MMM-YYYY)]])</f>
        <v>4</v>
      </c>
      <c r="AW16" s="65">
        <v>0.41666666666666669</v>
      </c>
      <c r="AX16" s="66">
        <v>0.47916666666666669</v>
      </c>
      <c r="AY16" s="103" t="s">
        <v>912</v>
      </c>
      <c r="AZ16" s="98">
        <v>46323</v>
      </c>
      <c r="BA16" s="64">
        <f>WEEKDAY(Sheet_1_Table_1_13[[#This Row],[Lesson 1 
Date 
(DD-MMM-YYYY)]])</f>
        <v>4</v>
      </c>
      <c r="BB16" s="65">
        <v>0.41666666666666669</v>
      </c>
      <c r="BC16" s="66">
        <v>0.47916666666666669</v>
      </c>
      <c r="BD16" s="103" t="s">
        <v>912</v>
      </c>
      <c r="BE16" s="63">
        <v>46330</v>
      </c>
      <c r="BF16" s="64">
        <f>WEEKDAY(Sheet_1_Table_1_13[[#This Row],[Lesson 1 
Date 
(DD-MMM-YYYY)]])</f>
        <v>4</v>
      </c>
      <c r="BG16" s="65">
        <v>0.41666666666666669</v>
      </c>
      <c r="BH16" s="66">
        <v>0.47916666666666669</v>
      </c>
      <c r="BI16" s="103" t="s">
        <v>912</v>
      </c>
      <c r="BJ16" s="98">
        <v>46337</v>
      </c>
      <c r="BK16" s="64">
        <f>WEEKDAY(Sheet_1_Table_1_13[[#This Row],[Lesson 1 
Date 
(DD-MMM-YYYY)]])</f>
        <v>4</v>
      </c>
      <c r="BL16" s="65">
        <v>0.41666666666666669</v>
      </c>
      <c r="BM16" s="66">
        <v>0.47916666666666669</v>
      </c>
      <c r="BN16" s="103" t="s">
        <v>912</v>
      </c>
      <c r="BO16" s="54" t="s">
        <v>291</v>
      </c>
      <c r="BP16" s="69" t="s">
        <v>762</v>
      </c>
      <c r="BQ16" s="69" t="s">
        <v>913</v>
      </c>
      <c r="BR16" s="57" t="s">
        <v>914</v>
      </c>
      <c r="BS16" s="54"/>
      <c r="BT16" s="56"/>
      <c r="BU16" s="56"/>
      <c r="BV16" s="57"/>
      <c r="BW16" s="60">
        <v>100</v>
      </c>
      <c r="BX16" s="71">
        <v>0</v>
      </c>
      <c r="BY16" s="56" t="s">
        <v>149</v>
      </c>
      <c r="BZ16" s="56"/>
      <c r="CA16" s="56" t="s">
        <v>831</v>
      </c>
      <c r="CB16" s="72"/>
      <c r="CC16" s="72"/>
      <c r="CD16" s="72"/>
      <c r="CE16" s="56" t="s">
        <v>832</v>
      </c>
      <c r="CF16" s="57" t="s">
        <v>833</v>
      </c>
      <c r="CG16" s="60" t="s">
        <v>834</v>
      </c>
      <c r="CH16" s="71" t="s">
        <v>835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915</v>
      </c>
      <c r="D17" s="50"/>
      <c r="E17" s="51">
        <v>5695</v>
      </c>
      <c r="F17" s="52" t="s">
        <v>134</v>
      </c>
      <c r="G17" s="53" t="s">
        <v>819</v>
      </c>
      <c r="H17" s="97" t="s">
        <v>916</v>
      </c>
      <c r="I17" s="53" t="s">
        <v>917</v>
      </c>
      <c r="J17" s="54" t="s">
        <v>918</v>
      </c>
      <c r="K17" s="55" t="s">
        <v>919</v>
      </c>
      <c r="L17" s="55">
        <v>1</v>
      </c>
      <c r="M17" s="56" t="s">
        <v>920</v>
      </c>
      <c r="N17" s="57" t="s">
        <v>921</v>
      </c>
      <c r="O17" s="58" t="s">
        <v>146</v>
      </c>
      <c r="P17" s="96" t="s">
        <v>146</v>
      </c>
      <c r="Q17" s="60" t="s">
        <v>826</v>
      </c>
      <c r="R17" s="77" t="s">
        <v>827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850</v>
      </c>
      <c r="AP17" s="68">
        <v>46309</v>
      </c>
      <c r="AQ17" s="64">
        <f>WEEKDAY(Sheet_1_Table_1_13[[#This Row],[Lesson 1 
Date 
(DD-MMM-YYYY)]])</f>
        <v>4</v>
      </c>
      <c r="AR17" s="65">
        <v>0.60416666666666663</v>
      </c>
      <c r="AS17" s="66">
        <v>0.66666666666666663</v>
      </c>
      <c r="AT17" s="92" t="s">
        <v>850</v>
      </c>
      <c r="AU17" s="63">
        <v>46316</v>
      </c>
      <c r="AV17" s="64">
        <f>WEEKDAY(Sheet_1_Table_1_13[[#This Row],[Lesson 1 
Date 
(DD-MMM-YYYY)]])</f>
        <v>4</v>
      </c>
      <c r="AW17" s="65">
        <v>0.60416666666666663</v>
      </c>
      <c r="AX17" s="66">
        <v>0.66666666666666663</v>
      </c>
      <c r="AY17" s="92" t="s">
        <v>850</v>
      </c>
      <c r="AZ17" s="98">
        <v>46323</v>
      </c>
      <c r="BA17" s="64">
        <f>WEEKDAY(Sheet_1_Table_1_13[[#This Row],[Lesson 1 
Date 
(DD-MMM-YYYY)]])</f>
        <v>4</v>
      </c>
      <c r="BB17" s="65">
        <v>0.60416666666666663</v>
      </c>
      <c r="BC17" s="66">
        <v>0.66666666666666663</v>
      </c>
      <c r="BD17" s="92" t="s">
        <v>850</v>
      </c>
      <c r="BE17" s="63">
        <v>46330</v>
      </c>
      <c r="BF17" s="64">
        <f>WEEKDAY(Sheet_1_Table_1_13[[#This Row],[Lesson 1 
Date 
(DD-MMM-YYYY)]])</f>
        <v>4</v>
      </c>
      <c r="BG17" s="65">
        <v>0.60416666666666663</v>
      </c>
      <c r="BH17" s="66">
        <v>0.66666666666666663</v>
      </c>
      <c r="BI17" s="92" t="s">
        <v>850</v>
      </c>
      <c r="BJ17" s="98">
        <v>46337</v>
      </c>
      <c r="BK17" s="64">
        <f>WEEKDAY(Sheet_1_Table_1_13[[#This Row],[Lesson 1 
Date 
(DD-MMM-YYYY)]])</f>
        <v>4</v>
      </c>
      <c r="BL17" s="65">
        <v>0.60416666666666663</v>
      </c>
      <c r="BM17" s="66">
        <v>0.66666666666666663</v>
      </c>
      <c r="BN17" s="92" t="s">
        <v>850</v>
      </c>
      <c r="BO17" s="54" t="s">
        <v>163</v>
      </c>
      <c r="BP17" s="69" t="s">
        <v>922</v>
      </c>
      <c r="BQ17" s="69" t="s">
        <v>697</v>
      </c>
      <c r="BR17" s="57" t="s">
        <v>923</v>
      </c>
      <c r="BS17" s="54"/>
      <c r="BT17" s="56"/>
      <c r="BU17" s="56"/>
      <c r="BV17" s="57"/>
      <c r="BW17" s="60">
        <v>100</v>
      </c>
      <c r="BX17" s="71">
        <v>0</v>
      </c>
      <c r="BY17" s="56" t="s">
        <v>149</v>
      </c>
      <c r="BZ17" s="56"/>
      <c r="CA17" s="56" t="s">
        <v>831</v>
      </c>
      <c r="CB17" s="72"/>
      <c r="CC17" s="72"/>
      <c r="CD17" s="72"/>
      <c r="CE17" s="56" t="s">
        <v>832</v>
      </c>
      <c r="CF17" s="57" t="s">
        <v>833</v>
      </c>
      <c r="CG17" s="60" t="s">
        <v>834</v>
      </c>
      <c r="CH17" s="71" t="s">
        <v>835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924</v>
      </c>
      <c r="D18" s="50"/>
      <c r="E18" s="51">
        <v>5693</v>
      </c>
      <c r="F18" s="52" t="s">
        <v>134</v>
      </c>
      <c r="G18" s="53" t="s">
        <v>819</v>
      </c>
      <c r="H18" s="97" t="s">
        <v>916</v>
      </c>
      <c r="I18" s="53" t="s">
        <v>917</v>
      </c>
      <c r="J18" s="54" t="s">
        <v>925</v>
      </c>
      <c r="K18" s="55" t="s">
        <v>926</v>
      </c>
      <c r="L18" s="55"/>
      <c r="M18" s="56" t="s">
        <v>927</v>
      </c>
      <c r="N18" s="57" t="s">
        <v>928</v>
      </c>
      <c r="O18" s="78" t="s">
        <v>146</v>
      </c>
      <c r="P18" s="96" t="s">
        <v>146</v>
      </c>
      <c r="Q18" s="60" t="s">
        <v>826</v>
      </c>
      <c r="R18" s="61" t="s">
        <v>827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850</v>
      </c>
      <c r="AP18" s="68">
        <v>46309</v>
      </c>
      <c r="AQ18" s="64">
        <f>WEEKDAY(Sheet_1_Table_1_13[[#This Row],[Lesson 1 
Date 
(DD-MMM-YYYY)]])</f>
        <v>4</v>
      </c>
      <c r="AR18" s="65">
        <v>0.66666666666666663</v>
      </c>
      <c r="AS18" s="66">
        <v>0.72916666666666663</v>
      </c>
      <c r="AT18" s="92" t="s">
        <v>850</v>
      </c>
      <c r="AU18" s="63">
        <v>46316</v>
      </c>
      <c r="AV18" s="64">
        <f>WEEKDAY(Sheet_1_Table_1_13[[#This Row],[Lesson 1 
Date 
(DD-MMM-YYYY)]])</f>
        <v>4</v>
      </c>
      <c r="AW18" s="65">
        <v>0.66666666666666663</v>
      </c>
      <c r="AX18" s="66">
        <v>0.72916666666666663</v>
      </c>
      <c r="AY18" s="92" t="s">
        <v>850</v>
      </c>
      <c r="AZ18" s="98">
        <v>46323</v>
      </c>
      <c r="BA18" s="64">
        <f>WEEKDAY(Sheet_1_Table_1_13[[#This Row],[Lesson 1 
Date 
(DD-MMM-YYYY)]])</f>
        <v>4</v>
      </c>
      <c r="BB18" s="65">
        <v>0.66666666666666663</v>
      </c>
      <c r="BC18" s="66">
        <v>0.72916666666666663</v>
      </c>
      <c r="BD18" s="92" t="s">
        <v>850</v>
      </c>
      <c r="BE18" s="63">
        <v>46330</v>
      </c>
      <c r="BF18" s="64">
        <f>WEEKDAY(Sheet_1_Table_1_13[[#This Row],[Lesson 1 
Date 
(DD-MMM-YYYY)]])</f>
        <v>4</v>
      </c>
      <c r="BG18" s="65">
        <v>0.66666666666666663</v>
      </c>
      <c r="BH18" s="66">
        <v>0.72916666666666663</v>
      </c>
      <c r="BI18" s="92" t="s">
        <v>850</v>
      </c>
      <c r="BJ18" s="98">
        <v>46337</v>
      </c>
      <c r="BK18" s="64">
        <f>WEEKDAY(Sheet_1_Table_1_13[[#This Row],[Lesson 1 
Date 
(DD-MMM-YYYY)]])</f>
        <v>4</v>
      </c>
      <c r="BL18" s="65">
        <v>0.66666666666666663</v>
      </c>
      <c r="BM18" s="66">
        <v>0.72916666666666663</v>
      </c>
      <c r="BN18" s="92" t="s">
        <v>850</v>
      </c>
      <c r="BO18" s="54" t="s">
        <v>163</v>
      </c>
      <c r="BP18" s="69" t="s">
        <v>922</v>
      </c>
      <c r="BQ18" s="69" t="s">
        <v>697</v>
      </c>
      <c r="BR18" s="57" t="s">
        <v>923</v>
      </c>
      <c r="BS18" s="54"/>
      <c r="BT18" s="56"/>
      <c r="BU18" s="56"/>
      <c r="BV18" s="57"/>
      <c r="BW18" s="60">
        <v>100</v>
      </c>
      <c r="BX18" s="71">
        <v>0</v>
      </c>
      <c r="BY18" s="56" t="s">
        <v>149</v>
      </c>
      <c r="BZ18" s="56"/>
      <c r="CA18" s="56" t="s">
        <v>831</v>
      </c>
      <c r="CB18" s="72"/>
      <c r="CC18" s="72"/>
      <c r="CD18" s="72"/>
      <c r="CE18" s="56" t="s">
        <v>832</v>
      </c>
      <c r="CF18" s="57" t="s">
        <v>833</v>
      </c>
      <c r="CG18" s="60" t="s">
        <v>834</v>
      </c>
      <c r="CH18" s="71" t="s">
        <v>835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929</v>
      </c>
      <c r="D19" s="50"/>
      <c r="E19" s="51">
        <v>5692</v>
      </c>
      <c r="F19" s="52" t="s">
        <v>134</v>
      </c>
      <c r="G19" s="53" t="s">
        <v>819</v>
      </c>
      <c r="H19" s="95" t="s">
        <v>820</v>
      </c>
      <c r="I19" s="81" t="s">
        <v>821</v>
      </c>
      <c r="J19" s="54" t="s">
        <v>930</v>
      </c>
      <c r="K19" s="55" t="s">
        <v>931</v>
      </c>
      <c r="L19" s="55"/>
      <c r="M19" s="56" t="s">
        <v>932</v>
      </c>
      <c r="N19" s="57" t="s">
        <v>933</v>
      </c>
      <c r="O19" s="78" t="s">
        <v>146</v>
      </c>
      <c r="P19" s="96" t="s">
        <v>146</v>
      </c>
      <c r="Q19" s="60" t="s">
        <v>826</v>
      </c>
      <c r="R19" s="61" t="s">
        <v>827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895</v>
      </c>
      <c r="AP19" s="68">
        <v>46310</v>
      </c>
      <c r="AQ19" s="64">
        <f>WEEKDAY(Sheet_1_Table_1_13[[#This Row],[Lesson 1 
Date 
(DD-MMM-YYYY)]])</f>
        <v>5</v>
      </c>
      <c r="AR19" s="65">
        <v>0.66666666666666663</v>
      </c>
      <c r="AS19" s="66">
        <v>0.72916666666666663</v>
      </c>
      <c r="AT19" s="103" t="s">
        <v>895</v>
      </c>
      <c r="AU19" s="63">
        <v>46317</v>
      </c>
      <c r="AV19" s="64">
        <f>WEEKDAY(Sheet_1_Table_1_13[[#This Row],[Lesson 1 
Date 
(DD-MMM-YYYY)]])</f>
        <v>5</v>
      </c>
      <c r="AW19" s="65">
        <v>0.66666666666666663</v>
      </c>
      <c r="AX19" s="66">
        <v>0.72916666666666663</v>
      </c>
      <c r="AY19" s="103" t="s">
        <v>895</v>
      </c>
      <c r="AZ19" s="98">
        <v>46324</v>
      </c>
      <c r="BA19" s="64">
        <f>WEEKDAY(Sheet_1_Table_1_13[[#This Row],[Lesson 1 
Date 
(DD-MMM-YYYY)]])</f>
        <v>5</v>
      </c>
      <c r="BB19" s="65">
        <v>0.66666666666666663</v>
      </c>
      <c r="BC19" s="66">
        <v>0.72916666666666663</v>
      </c>
      <c r="BD19" s="103" t="s">
        <v>895</v>
      </c>
      <c r="BE19" s="63">
        <v>46331</v>
      </c>
      <c r="BF19" s="64">
        <f>WEEKDAY(Sheet_1_Table_1_13[[#This Row],[Lesson 1 
Date 
(DD-MMM-YYYY)]])</f>
        <v>5</v>
      </c>
      <c r="BG19" s="65">
        <v>0.66666666666666663</v>
      </c>
      <c r="BH19" s="66">
        <v>0.72916666666666663</v>
      </c>
      <c r="BI19" s="103" t="s">
        <v>895</v>
      </c>
      <c r="BJ19" s="98">
        <v>46338</v>
      </c>
      <c r="BK19" s="64">
        <f>WEEKDAY(Sheet_1_Table_1_13[[#This Row],[Lesson 1 
Date 
(DD-MMM-YYYY)]])</f>
        <v>5</v>
      </c>
      <c r="BL19" s="65">
        <v>0.66666666666666663</v>
      </c>
      <c r="BM19" s="66">
        <v>0.72916666666666663</v>
      </c>
      <c r="BN19" s="103" t="s">
        <v>895</v>
      </c>
      <c r="BO19" s="54" t="s">
        <v>163</v>
      </c>
      <c r="BP19" s="69" t="s">
        <v>934</v>
      </c>
      <c r="BQ19" s="69" t="s">
        <v>935</v>
      </c>
      <c r="BR19" s="57" t="s">
        <v>936</v>
      </c>
      <c r="BS19" s="54"/>
      <c r="BT19" s="56"/>
      <c r="BU19" s="56"/>
      <c r="BV19" s="57"/>
      <c r="BW19" s="60">
        <v>100</v>
      </c>
      <c r="BX19" s="71">
        <v>0</v>
      </c>
      <c r="BY19" s="56" t="s">
        <v>149</v>
      </c>
      <c r="BZ19" s="56"/>
      <c r="CA19" s="56" t="s">
        <v>831</v>
      </c>
      <c r="CB19" s="72"/>
      <c r="CC19" s="72"/>
      <c r="CD19" s="72"/>
      <c r="CE19" s="56" t="s">
        <v>832</v>
      </c>
      <c r="CF19" s="57" t="s">
        <v>833</v>
      </c>
      <c r="CG19" s="60" t="s">
        <v>834</v>
      </c>
      <c r="CH19" s="71" t="s">
        <v>835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937</v>
      </c>
      <c r="D20" s="50"/>
      <c r="E20" s="51">
        <v>5682</v>
      </c>
      <c r="F20" s="52" t="s">
        <v>134</v>
      </c>
      <c r="G20" s="53" t="s">
        <v>819</v>
      </c>
      <c r="H20" s="97" t="s">
        <v>820</v>
      </c>
      <c r="I20" s="53" t="s">
        <v>821</v>
      </c>
      <c r="J20" s="54" t="s">
        <v>938</v>
      </c>
      <c r="K20" s="55" t="s">
        <v>939</v>
      </c>
      <c r="L20" s="55">
        <v>1</v>
      </c>
      <c r="M20" s="56" t="s">
        <v>940</v>
      </c>
      <c r="N20" s="57" t="s">
        <v>941</v>
      </c>
      <c r="O20" s="58" t="s">
        <v>146</v>
      </c>
      <c r="P20" s="96" t="s">
        <v>146</v>
      </c>
      <c r="Q20" s="60" t="s">
        <v>826</v>
      </c>
      <c r="R20" s="77" t="s">
        <v>827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942</v>
      </c>
      <c r="AP20" s="68">
        <v>46310</v>
      </c>
      <c r="AQ20" s="64">
        <f>WEEKDAY(Sheet_1_Table_1_13[[#This Row],[Lesson 1 
Date 
(DD-MMM-YYYY)]])</f>
        <v>5</v>
      </c>
      <c r="AR20" s="65">
        <v>0.4375</v>
      </c>
      <c r="AS20" s="66">
        <v>0.5</v>
      </c>
      <c r="AT20" s="91" t="s">
        <v>942</v>
      </c>
      <c r="AU20" s="63">
        <v>46317</v>
      </c>
      <c r="AV20" s="64">
        <f>WEEKDAY(Sheet_1_Table_1_13[[#This Row],[Lesson 1 
Date 
(DD-MMM-YYYY)]])</f>
        <v>5</v>
      </c>
      <c r="AW20" s="65">
        <v>0.4375</v>
      </c>
      <c r="AX20" s="66">
        <v>0.5</v>
      </c>
      <c r="AY20" s="91" t="s">
        <v>942</v>
      </c>
      <c r="AZ20" s="98">
        <v>46324</v>
      </c>
      <c r="BA20" s="64">
        <f>WEEKDAY(Sheet_1_Table_1_13[[#This Row],[Lesson 1 
Date 
(DD-MMM-YYYY)]])</f>
        <v>5</v>
      </c>
      <c r="BB20" s="65">
        <v>0.4375</v>
      </c>
      <c r="BC20" s="66">
        <v>0.5</v>
      </c>
      <c r="BD20" s="91" t="s">
        <v>942</v>
      </c>
      <c r="BE20" s="63">
        <v>46331</v>
      </c>
      <c r="BF20" s="64">
        <f>WEEKDAY(Sheet_1_Table_1_13[[#This Row],[Lesson 1 
Date 
(DD-MMM-YYYY)]])</f>
        <v>5</v>
      </c>
      <c r="BG20" s="65">
        <v>0.4375</v>
      </c>
      <c r="BH20" s="66">
        <v>0.5</v>
      </c>
      <c r="BI20" s="91" t="s">
        <v>942</v>
      </c>
      <c r="BJ20" s="98">
        <v>46338</v>
      </c>
      <c r="BK20" s="64">
        <f>WEEKDAY(Sheet_1_Table_1_13[[#This Row],[Lesson 1 
Date 
(DD-MMM-YYYY)]])</f>
        <v>5</v>
      </c>
      <c r="BL20" s="65">
        <v>0.4375</v>
      </c>
      <c r="BM20" s="66">
        <v>0.5</v>
      </c>
      <c r="BN20" s="91" t="s">
        <v>942</v>
      </c>
      <c r="BO20" s="54" t="s">
        <v>291</v>
      </c>
      <c r="BP20" s="69" t="s">
        <v>943</v>
      </c>
      <c r="BQ20" s="69" t="s">
        <v>944</v>
      </c>
      <c r="BR20" s="57" t="s">
        <v>945</v>
      </c>
      <c r="BS20" s="54"/>
      <c r="BT20" s="56"/>
      <c r="BU20" s="56"/>
      <c r="BV20" s="57"/>
      <c r="BW20" s="60">
        <v>100</v>
      </c>
      <c r="BX20" s="71">
        <v>0</v>
      </c>
      <c r="BY20" s="56" t="s">
        <v>149</v>
      </c>
      <c r="BZ20" s="56"/>
      <c r="CA20" s="56" t="s">
        <v>831</v>
      </c>
      <c r="CB20" s="72"/>
      <c r="CC20" s="72"/>
      <c r="CD20" s="72"/>
      <c r="CE20" s="56" t="s">
        <v>832</v>
      </c>
      <c r="CF20" s="57" t="s">
        <v>833</v>
      </c>
      <c r="CG20" s="60" t="s">
        <v>834</v>
      </c>
      <c r="CH20" s="71" t="s">
        <v>835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937</v>
      </c>
      <c r="D21" s="50"/>
      <c r="E21" s="51">
        <v>5683</v>
      </c>
      <c r="F21" s="52" t="s">
        <v>134</v>
      </c>
      <c r="G21" s="53" t="s">
        <v>819</v>
      </c>
      <c r="H21" s="97" t="s">
        <v>820</v>
      </c>
      <c r="I21" s="53" t="s">
        <v>821</v>
      </c>
      <c r="J21" s="54" t="s">
        <v>938</v>
      </c>
      <c r="K21" s="55" t="s">
        <v>939</v>
      </c>
      <c r="L21" s="55">
        <v>2</v>
      </c>
      <c r="M21" s="57" t="s">
        <v>940</v>
      </c>
      <c r="N21" s="57" t="s">
        <v>941</v>
      </c>
      <c r="O21" s="58" t="s">
        <v>146</v>
      </c>
      <c r="P21" s="96" t="s">
        <v>146</v>
      </c>
      <c r="Q21" s="60" t="s">
        <v>826</v>
      </c>
      <c r="R21" s="61" t="s">
        <v>827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942</v>
      </c>
      <c r="AP21" s="68">
        <v>46310</v>
      </c>
      <c r="AQ21" s="64">
        <f>WEEKDAY(Sheet_1_Table_1_13[[#This Row],[Lesson 1 
Date 
(DD-MMM-YYYY)]])</f>
        <v>5</v>
      </c>
      <c r="AR21" s="65">
        <v>0.5</v>
      </c>
      <c r="AS21" s="66">
        <v>0.5625</v>
      </c>
      <c r="AT21" s="91" t="s">
        <v>942</v>
      </c>
      <c r="AU21" s="63">
        <v>46317</v>
      </c>
      <c r="AV21" s="64">
        <f>WEEKDAY(Sheet_1_Table_1_13[[#This Row],[Lesson 1 
Date 
(DD-MMM-YYYY)]])</f>
        <v>5</v>
      </c>
      <c r="AW21" s="65">
        <v>0.5</v>
      </c>
      <c r="AX21" s="66">
        <v>0.5625</v>
      </c>
      <c r="AY21" s="91" t="s">
        <v>942</v>
      </c>
      <c r="AZ21" s="98">
        <v>46324</v>
      </c>
      <c r="BA21" s="64">
        <f>WEEKDAY(Sheet_1_Table_1_13[[#This Row],[Lesson 1 
Date 
(DD-MMM-YYYY)]])</f>
        <v>5</v>
      </c>
      <c r="BB21" s="65">
        <v>0.5</v>
      </c>
      <c r="BC21" s="66">
        <v>0.5625</v>
      </c>
      <c r="BD21" s="91" t="s">
        <v>942</v>
      </c>
      <c r="BE21" s="63">
        <v>46331</v>
      </c>
      <c r="BF21" s="64">
        <f>WEEKDAY(Sheet_1_Table_1_13[[#This Row],[Lesson 1 
Date 
(DD-MMM-YYYY)]])</f>
        <v>5</v>
      </c>
      <c r="BG21" s="65">
        <v>0.5</v>
      </c>
      <c r="BH21" s="66">
        <v>0.5625</v>
      </c>
      <c r="BI21" s="91" t="s">
        <v>942</v>
      </c>
      <c r="BJ21" s="98">
        <v>46338</v>
      </c>
      <c r="BK21" s="64">
        <f>WEEKDAY(Sheet_1_Table_1_13[[#This Row],[Lesson 1 
Date 
(DD-MMM-YYYY)]])</f>
        <v>5</v>
      </c>
      <c r="BL21" s="65">
        <v>0.5</v>
      </c>
      <c r="BM21" s="66">
        <v>0.5625</v>
      </c>
      <c r="BN21" s="91" t="s">
        <v>942</v>
      </c>
      <c r="BO21" s="54" t="s">
        <v>291</v>
      </c>
      <c r="BP21" s="69" t="s">
        <v>943</v>
      </c>
      <c r="BQ21" s="69" t="s">
        <v>944</v>
      </c>
      <c r="BR21" s="57" t="s">
        <v>945</v>
      </c>
      <c r="BS21" s="54"/>
      <c r="BT21" s="56"/>
      <c r="BU21" s="56"/>
      <c r="BV21" s="57"/>
      <c r="BW21" s="60">
        <v>100</v>
      </c>
      <c r="BX21" s="71">
        <v>0</v>
      </c>
      <c r="BY21" s="56" t="s">
        <v>149</v>
      </c>
      <c r="BZ21" s="56"/>
      <c r="CA21" s="56" t="s">
        <v>831</v>
      </c>
      <c r="CB21" s="72"/>
      <c r="CC21" s="72"/>
      <c r="CD21" s="72"/>
      <c r="CE21" s="56" t="s">
        <v>832</v>
      </c>
      <c r="CF21" s="57" t="s">
        <v>833</v>
      </c>
      <c r="CG21" s="60" t="s">
        <v>834</v>
      </c>
      <c r="CH21" s="71" t="s">
        <v>835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937</v>
      </c>
      <c r="D22" s="50"/>
      <c r="E22" s="51">
        <v>5684</v>
      </c>
      <c r="F22" s="52" t="s">
        <v>134</v>
      </c>
      <c r="G22" s="53" t="s">
        <v>819</v>
      </c>
      <c r="H22" s="97" t="s">
        <v>820</v>
      </c>
      <c r="I22" s="53" t="s">
        <v>821</v>
      </c>
      <c r="J22" s="54" t="s">
        <v>938</v>
      </c>
      <c r="K22" s="55" t="s">
        <v>939</v>
      </c>
      <c r="L22" s="55">
        <v>3</v>
      </c>
      <c r="M22" s="56" t="s">
        <v>940</v>
      </c>
      <c r="N22" s="57" t="s">
        <v>941</v>
      </c>
      <c r="O22" s="78" t="s">
        <v>146</v>
      </c>
      <c r="P22" s="96" t="s">
        <v>146</v>
      </c>
      <c r="Q22" s="60" t="s">
        <v>826</v>
      </c>
      <c r="R22" s="77" t="s">
        <v>827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942</v>
      </c>
      <c r="AP22" s="68">
        <v>46310</v>
      </c>
      <c r="AQ22" s="64">
        <f>WEEKDAY(Sheet_1_Table_1_13[[#This Row],[Lesson 1 
Date 
(DD-MMM-YYYY)]])</f>
        <v>5</v>
      </c>
      <c r="AR22" s="65">
        <v>0.60416666666666663</v>
      </c>
      <c r="AS22" s="66">
        <v>0.66666666666666663</v>
      </c>
      <c r="AT22" s="91" t="s">
        <v>942</v>
      </c>
      <c r="AU22" s="63">
        <v>46317</v>
      </c>
      <c r="AV22" s="64">
        <f>WEEKDAY(Sheet_1_Table_1_13[[#This Row],[Lesson 1 
Date 
(DD-MMM-YYYY)]])</f>
        <v>5</v>
      </c>
      <c r="AW22" s="65">
        <v>0.60416666666666663</v>
      </c>
      <c r="AX22" s="66">
        <v>0.66666666666666663</v>
      </c>
      <c r="AY22" s="91" t="s">
        <v>942</v>
      </c>
      <c r="AZ22" s="98">
        <v>46324</v>
      </c>
      <c r="BA22" s="64">
        <f>WEEKDAY(Sheet_1_Table_1_13[[#This Row],[Lesson 1 
Date 
(DD-MMM-YYYY)]])</f>
        <v>5</v>
      </c>
      <c r="BB22" s="65">
        <v>0.60416666666666663</v>
      </c>
      <c r="BC22" s="66">
        <v>0.66666666666666663</v>
      </c>
      <c r="BD22" s="91" t="s">
        <v>942</v>
      </c>
      <c r="BE22" s="63">
        <v>46331</v>
      </c>
      <c r="BF22" s="64">
        <f>WEEKDAY(Sheet_1_Table_1_13[[#This Row],[Lesson 1 
Date 
(DD-MMM-YYYY)]])</f>
        <v>5</v>
      </c>
      <c r="BG22" s="65">
        <v>0.60416666666666663</v>
      </c>
      <c r="BH22" s="66">
        <v>0.66666666666666663</v>
      </c>
      <c r="BI22" s="91" t="s">
        <v>942</v>
      </c>
      <c r="BJ22" s="98">
        <v>46338</v>
      </c>
      <c r="BK22" s="64">
        <f>WEEKDAY(Sheet_1_Table_1_13[[#This Row],[Lesson 1 
Date 
(DD-MMM-YYYY)]])</f>
        <v>5</v>
      </c>
      <c r="BL22" s="65">
        <v>0.60416666666666663</v>
      </c>
      <c r="BM22" s="66">
        <v>0.66666666666666663</v>
      </c>
      <c r="BN22" s="91" t="s">
        <v>942</v>
      </c>
      <c r="BO22" s="54" t="s">
        <v>291</v>
      </c>
      <c r="BP22" s="69" t="s">
        <v>943</v>
      </c>
      <c r="BQ22" s="69" t="s">
        <v>944</v>
      </c>
      <c r="BR22" s="57" t="s">
        <v>945</v>
      </c>
      <c r="BS22" s="54"/>
      <c r="BT22" s="56"/>
      <c r="BU22" s="56"/>
      <c r="BV22" s="57"/>
      <c r="BW22" s="60">
        <v>100</v>
      </c>
      <c r="BX22" s="71">
        <v>0</v>
      </c>
      <c r="BY22" s="56" t="s">
        <v>149</v>
      </c>
      <c r="BZ22" s="56"/>
      <c r="CA22" s="56" t="s">
        <v>831</v>
      </c>
      <c r="CB22" s="72"/>
      <c r="CC22" s="72"/>
      <c r="CD22" s="72"/>
      <c r="CE22" s="56" t="s">
        <v>832</v>
      </c>
      <c r="CF22" s="57" t="s">
        <v>833</v>
      </c>
      <c r="CG22" s="60" t="s">
        <v>834</v>
      </c>
      <c r="CH22" s="71" t="s">
        <v>835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907</v>
      </c>
      <c r="D23" s="50"/>
      <c r="E23" s="51">
        <v>5687</v>
      </c>
      <c r="F23" s="52" t="s">
        <v>134</v>
      </c>
      <c r="G23" s="53" t="s">
        <v>819</v>
      </c>
      <c r="H23" s="97" t="s">
        <v>820</v>
      </c>
      <c r="I23" s="53" t="s">
        <v>821</v>
      </c>
      <c r="J23" s="54" t="s">
        <v>908</v>
      </c>
      <c r="K23" s="55" t="s">
        <v>909</v>
      </c>
      <c r="L23" s="55">
        <v>2</v>
      </c>
      <c r="M23" s="56" t="s">
        <v>910</v>
      </c>
      <c r="N23" s="57" t="s">
        <v>911</v>
      </c>
      <c r="O23" s="78" t="s">
        <v>146</v>
      </c>
      <c r="P23" s="96" t="s">
        <v>146</v>
      </c>
      <c r="Q23" s="60" t="s">
        <v>826</v>
      </c>
      <c r="R23" s="61" t="s">
        <v>827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912</v>
      </c>
      <c r="AP23" s="68">
        <v>46310</v>
      </c>
      <c r="AQ23" s="64">
        <f>WEEKDAY(Sheet_1_Table_1_13[[#This Row],[Lesson 1 
Date 
(DD-MMM-YYYY)]])</f>
        <v>5</v>
      </c>
      <c r="AR23" s="65">
        <v>0.41666666666666669</v>
      </c>
      <c r="AS23" s="66">
        <v>0.47916666666666669</v>
      </c>
      <c r="AT23" s="103" t="s">
        <v>912</v>
      </c>
      <c r="AU23" s="63">
        <v>46317</v>
      </c>
      <c r="AV23" s="64">
        <f>WEEKDAY(Sheet_1_Table_1_13[[#This Row],[Lesson 1 
Date 
(DD-MMM-YYYY)]])</f>
        <v>5</v>
      </c>
      <c r="AW23" s="65">
        <v>0.41666666666666669</v>
      </c>
      <c r="AX23" s="66">
        <v>0.47916666666666669</v>
      </c>
      <c r="AY23" s="103" t="s">
        <v>912</v>
      </c>
      <c r="AZ23" s="98">
        <v>46324</v>
      </c>
      <c r="BA23" s="64">
        <f>WEEKDAY(Sheet_1_Table_1_13[[#This Row],[Lesson 1 
Date 
(DD-MMM-YYYY)]])</f>
        <v>5</v>
      </c>
      <c r="BB23" s="65">
        <v>0.41666666666666669</v>
      </c>
      <c r="BC23" s="66">
        <v>0.47916666666666669</v>
      </c>
      <c r="BD23" s="103" t="s">
        <v>912</v>
      </c>
      <c r="BE23" s="63">
        <v>46331</v>
      </c>
      <c r="BF23" s="64">
        <f>WEEKDAY(Sheet_1_Table_1_13[[#This Row],[Lesson 1 
Date 
(DD-MMM-YYYY)]])</f>
        <v>5</v>
      </c>
      <c r="BG23" s="65">
        <v>0.41666666666666669</v>
      </c>
      <c r="BH23" s="66">
        <v>0.47916666666666669</v>
      </c>
      <c r="BI23" s="103" t="s">
        <v>912</v>
      </c>
      <c r="BJ23" s="98">
        <v>46338</v>
      </c>
      <c r="BK23" s="64">
        <f>WEEKDAY(Sheet_1_Table_1_13[[#This Row],[Lesson 1 
Date 
(DD-MMM-YYYY)]])</f>
        <v>5</v>
      </c>
      <c r="BL23" s="65">
        <v>0.41666666666666669</v>
      </c>
      <c r="BM23" s="66">
        <v>0.47916666666666669</v>
      </c>
      <c r="BN23" s="103" t="s">
        <v>912</v>
      </c>
      <c r="BO23" s="54" t="s">
        <v>291</v>
      </c>
      <c r="BP23" s="69" t="s">
        <v>762</v>
      </c>
      <c r="BQ23" s="69" t="s">
        <v>913</v>
      </c>
      <c r="BR23" s="57" t="s">
        <v>914</v>
      </c>
      <c r="BS23" s="54"/>
      <c r="BT23" s="56"/>
      <c r="BU23" s="56"/>
      <c r="BV23" s="57"/>
      <c r="BW23" s="60">
        <v>100</v>
      </c>
      <c r="BX23" s="71">
        <v>0</v>
      </c>
      <c r="BY23" s="56" t="s">
        <v>149</v>
      </c>
      <c r="BZ23" s="56"/>
      <c r="CA23" s="56" t="s">
        <v>831</v>
      </c>
      <c r="CB23" s="72"/>
      <c r="CC23" s="72"/>
      <c r="CD23" s="72"/>
      <c r="CE23" s="56" t="s">
        <v>832</v>
      </c>
      <c r="CF23" s="57" t="s">
        <v>833</v>
      </c>
      <c r="CG23" s="60" t="s">
        <v>834</v>
      </c>
      <c r="CH23" s="71" t="s">
        <v>835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946</v>
      </c>
      <c r="D24" s="50"/>
      <c r="E24" s="51">
        <v>5691</v>
      </c>
      <c r="F24" s="52" t="s">
        <v>134</v>
      </c>
      <c r="G24" s="53" t="s">
        <v>819</v>
      </c>
      <c r="H24" s="97" t="s">
        <v>916</v>
      </c>
      <c r="I24" s="53" t="s">
        <v>917</v>
      </c>
      <c r="J24" s="54" t="s">
        <v>947</v>
      </c>
      <c r="K24" s="55" t="s">
        <v>948</v>
      </c>
      <c r="L24" s="55"/>
      <c r="M24" s="56" t="s">
        <v>949</v>
      </c>
      <c r="N24" s="57" t="s">
        <v>950</v>
      </c>
      <c r="O24" s="78" t="s">
        <v>146</v>
      </c>
      <c r="P24" s="96" t="s">
        <v>146</v>
      </c>
      <c r="Q24" s="60" t="s">
        <v>826</v>
      </c>
      <c r="R24" s="77" t="s">
        <v>827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951</v>
      </c>
      <c r="AP24" s="68">
        <v>46310</v>
      </c>
      <c r="AQ24" s="64">
        <f>WEEKDAY(Sheet_1_Table_1_13[[#This Row],[Lesson 1 
Date 
(DD-MMM-YYYY)]])</f>
        <v>5</v>
      </c>
      <c r="AR24" s="65">
        <v>0.41666666666666669</v>
      </c>
      <c r="AS24" s="66">
        <v>0.47916666666666669</v>
      </c>
      <c r="AT24" s="107" t="s">
        <v>951</v>
      </c>
      <c r="AU24" s="63">
        <v>46317</v>
      </c>
      <c r="AV24" s="64">
        <f>WEEKDAY(Sheet_1_Table_1_13[[#This Row],[Lesson 1 
Date 
(DD-MMM-YYYY)]])</f>
        <v>5</v>
      </c>
      <c r="AW24" s="65">
        <v>0.41666666666666669</v>
      </c>
      <c r="AX24" s="66">
        <v>0.47916666666666669</v>
      </c>
      <c r="AY24" s="107" t="s">
        <v>951</v>
      </c>
      <c r="AZ24" s="98">
        <v>46324</v>
      </c>
      <c r="BA24" s="64">
        <f>WEEKDAY(Sheet_1_Table_1_13[[#This Row],[Lesson 1 
Date 
(DD-MMM-YYYY)]])</f>
        <v>5</v>
      </c>
      <c r="BB24" s="65">
        <v>0.41666666666666669</v>
      </c>
      <c r="BC24" s="66">
        <v>0.47916666666666669</v>
      </c>
      <c r="BD24" s="107" t="s">
        <v>951</v>
      </c>
      <c r="BE24" s="63">
        <v>46331</v>
      </c>
      <c r="BF24" s="64">
        <f>WEEKDAY(Sheet_1_Table_1_13[[#This Row],[Lesson 1 
Date 
(DD-MMM-YYYY)]])</f>
        <v>5</v>
      </c>
      <c r="BG24" s="65">
        <v>0.41666666666666669</v>
      </c>
      <c r="BH24" s="66">
        <v>0.47916666666666669</v>
      </c>
      <c r="BI24" s="107" t="s">
        <v>951</v>
      </c>
      <c r="BJ24" s="98">
        <v>46338</v>
      </c>
      <c r="BK24" s="64">
        <f>WEEKDAY(Sheet_1_Table_1_13[[#This Row],[Lesson 1 
Date 
(DD-MMM-YYYY)]])</f>
        <v>5</v>
      </c>
      <c r="BL24" s="65">
        <v>0.41666666666666669</v>
      </c>
      <c r="BM24" s="66">
        <v>0.47916666666666669</v>
      </c>
      <c r="BN24" s="107" t="s">
        <v>951</v>
      </c>
      <c r="BO24" s="54" t="s">
        <v>291</v>
      </c>
      <c r="BP24" s="69" t="s">
        <v>952</v>
      </c>
      <c r="BQ24" s="69" t="s">
        <v>521</v>
      </c>
      <c r="BR24" s="57" t="s">
        <v>953</v>
      </c>
      <c r="BS24" s="54"/>
      <c r="BT24" s="56"/>
      <c r="BU24" s="56"/>
      <c r="BV24" s="57"/>
      <c r="BW24" s="60">
        <v>100</v>
      </c>
      <c r="BX24" s="71">
        <v>0</v>
      </c>
      <c r="BY24" s="56" t="s">
        <v>149</v>
      </c>
      <c r="BZ24" s="56"/>
      <c r="CA24" s="56" t="s">
        <v>831</v>
      </c>
      <c r="CB24" s="72"/>
      <c r="CC24" s="72"/>
      <c r="CD24" s="72"/>
      <c r="CE24" s="56" t="s">
        <v>832</v>
      </c>
      <c r="CF24" s="57" t="s">
        <v>833</v>
      </c>
      <c r="CG24" s="60" t="s">
        <v>834</v>
      </c>
      <c r="CH24" s="71" t="s">
        <v>835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954</v>
      </c>
      <c r="D25" s="50"/>
      <c r="E25" s="51">
        <v>5680</v>
      </c>
      <c r="F25" s="52" t="s">
        <v>134</v>
      </c>
      <c r="G25" s="53" t="s">
        <v>819</v>
      </c>
      <c r="H25" s="97" t="s">
        <v>916</v>
      </c>
      <c r="I25" s="53" t="s">
        <v>917</v>
      </c>
      <c r="J25" s="54" t="s">
        <v>955</v>
      </c>
      <c r="K25" s="55" t="s">
        <v>956</v>
      </c>
      <c r="L25" s="55"/>
      <c r="M25" s="56" t="s">
        <v>957</v>
      </c>
      <c r="N25" s="57" t="s">
        <v>958</v>
      </c>
      <c r="O25" s="58" t="s">
        <v>146</v>
      </c>
      <c r="P25" s="96" t="s">
        <v>146</v>
      </c>
      <c r="Q25" s="60" t="s">
        <v>826</v>
      </c>
      <c r="R25" s="61" t="s">
        <v>827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951</v>
      </c>
      <c r="AP25" s="68">
        <v>46310</v>
      </c>
      <c r="AQ25" s="64">
        <f>WEEKDAY(Sheet_1_Table_1_13[[#This Row],[Lesson 1 
Date 
(DD-MMM-YYYY)]])</f>
        <v>5</v>
      </c>
      <c r="AR25" s="65">
        <v>0.47916666666666669</v>
      </c>
      <c r="AS25" s="66">
        <v>0.54166666666666663</v>
      </c>
      <c r="AT25" s="92" t="s">
        <v>951</v>
      </c>
      <c r="AU25" s="63">
        <v>46317</v>
      </c>
      <c r="AV25" s="64">
        <f>WEEKDAY(Sheet_1_Table_1_13[[#This Row],[Lesson 1 
Date 
(DD-MMM-YYYY)]])</f>
        <v>5</v>
      </c>
      <c r="AW25" s="65">
        <v>0.47916666666666669</v>
      </c>
      <c r="AX25" s="66">
        <v>0.54166666666666663</v>
      </c>
      <c r="AY25" s="92" t="s">
        <v>951</v>
      </c>
      <c r="AZ25" s="98">
        <v>46324</v>
      </c>
      <c r="BA25" s="64">
        <f>WEEKDAY(Sheet_1_Table_1_13[[#This Row],[Lesson 1 
Date 
(DD-MMM-YYYY)]])</f>
        <v>5</v>
      </c>
      <c r="BB25" s="65">
        <v>0.47916666666666669</v>
      </c>
      <c r="BC25" s="66">
        <v>0.54166666666666663</v>
      </c>
      <c r="BD25" s="92" t="s">
        <v>951</v>
      </c>
      <c r="BE25" s="63">
        <v>46331</v>
      </c>
      <c r="BF25" s="64">
        <f>WEEKDAY(Sheet_1_Table_1_13[[#This Row],[Lesson 1 
Date 
(DD-MMM-YYYY)]])</f>
        <v>5</v>
      </c>
      <c r="BG25" s="65">
        <v>0.47916666666666669</v>
      </c>
      <c r="BH25" s="66">
        <v>0.54166666666666663</v>
      </c>
      <c r="BI25" s="92" t="s">
        <v>951</v>
      </c>
      <c r="BJ25" s="98">
        <v>46338</v>
      </c>
      <c r="BK25" s="64">
        <f>WEEKDAY(Sheet_1_Table_1_13[[#This Row],[Lesson 1 
Date 
(DD-MMM-YYYY)]])</f>
        <v>5</v>
      </c>
      <c r="BL25" s="65">
        <v>0.47916666666666669</v>
      </c>
      <c r="BM25" s="66">
        <v>0.54166666666666663</v>
      </c>
      <c r="BN25" s="92" t="s">
        <v>850</v>
      </c>
      <c r="BO25" s="54" t="s">
        <v>291</v>
      </c>
      <c r="BP25" s="69" t="s">
        <v>952</v>
      </c>
      <c r="BQ25" s="69" t="s">
        <v>521</v>
      </c>
      <c r="BR25" s="57" t="s">
        <v>953</v>
      </c>
      <c r="BS25" s="54"/>
      <c r="BT25" s="56"/>
      <c r="BU25" s="56"/>
      <c r="BV25" s="57"/>
      <c r="BW25" s="60">
        <v>100</v>
      </c>
      <c r="BX25" s="71">
        <v>0</v>
      </c>
      <c r="BY25" s="56" t="s">
        <v>149</v>
      </c>
      <c r="BZ25" s="56"/>
      <c r="CA25" s="56" t="s">
        <v>831</v>
      </c>
      <c r="CB25" s="72"/>
      <c r="CC25" s="72"/>
      <c r="CD25" s="72"/>
      <c r="CE25" s="56" t="s">
        <v>832</v>
      </c>
      <c r="CF25" s="57" t="s">
        <v>833</v>
      </c>
      <c r="CG25" s="60" t="s">
        <v>834</v>
      </c>
      <c r="CH25" s="71" t="s">
        <v>835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915</v>
      </c>
      <c r="D26" s="50"/>
      <c r="E26" s="51">
        <v>5696</v>
      </c>
      <c r="F26" s="52" t="s">
        <v>134</v>
      </c>
      <c r="G26" s="53" t="s">
        <v>819</v>
      </c>
      <c r="H26" s="97" t="s">
        <v>916</v>
      </c>
      <c r="I26" s="53" t="s">
        <v>917</v>
      </c>
      <c r="J26" s="54" t="s">
        <v>918</v>
      </c>
      <c r="K26" s="55" t="s">
        <v>919</v>
      </c>
      <c r="L26" s="55">
        <v>2</v>
      </c>
      <c r="M26" s="56" t="s">
        <v>920</v>
      </c>
      <c r="N26" s="57" t="s">
        <v>921</v>
      </c>
      <c r="O26" s="58" t="s">
        <v>146</v>
      </c>
      <c r="P26" s="96" t="s">
        <v>146</v>
      </c>
      <c r="Q26" s="60" t="s">
        <v>826</v>
      </c>
      <c r="R26" s="77" t="s">
        <v>827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850</v>
      </c>
      <c r="AP26" s="68">
        <v>46310</v>
      </c>
      <c r="AQ26" s="64">
        <f>WEEKDAY(Sheet_1_Table_1_13[[#This Row],[Lesson 1 
Date 
(DD-MMM-YYYY)]])</f>
        <v>5</v>
      </c>
      <c r="AR26" s="65">
        <v>0.54166666666666663</v>
      </c>
      <c r="AS26" s="66">
        <v>0.60416666666666663</v>
      </c>
      <c r="AT26" s="92" t="s">
        <v>850</v>
      </c>
      <c r="AU26" s="68">
        <v>46317</v>
      </c>
      <c r="AV26" s="64">
        <f>WEEKDAY(Sheet_1_Table_1_13[[#This Row],[Lesson 1 
Date 
(DD-MMM-YYYY)]])</f>
        <v>5</v>
      </c>
      <c r="AW26" s="65">
        <v>0.54166666666666663</v>
      </c>
      <c r="AX26" s="66">
        <v>0.60416666666666663</v>
      </c>
      <c r="AY26" s="92" t="s">
        <v>850</v>
      </c>
      <c r="AZ26" s="98">
        <v>46324</v>
      </c>
      <c r="BA26" s="64">
        <f>WEEKDAY(Sheet_1_Table_1_13[[#This Row],[Lesson 1 
Date 
(DD-MMM-YYYY)]])</f>
        <v>5</v>
      </c>
      <c r="BB26" s="65">
        <v>0.54166666666666663</v>
      </c>
      <c r="BC26" s="66">
        <v>0.60416666666666663</v>
      </c>
      <c r="BD26" s="92" t="s">
        <v>850</v>
      </c>
      <c r="BE26" s="63">
        <v>46331</v>
      </c>
      <c r="BF26" s="64">
        <f>WEEKDAY(Sheet_1_Table_1_13[[#This Row],[Lesson 1 
Date 
(DD-MMM-YYYY)]])</f>
        <v>5</v>
      </c>
      <c r="BG26" s="65">
        <v>0.54166666666666663</v>
      </c>
      <c r="BH26" s="66">
        <v>0.60416666666666663</v>
      </c>
      <c r="BI26" s="92" t="s">
        <v>850</v>
      </c>
      <c r="BJ26" s="98">
        <v>46338</v>
      </c>
      <c r="BK26" s="64">
        <f>WEEKDAY(Sheet_1_Table_1_13[[#This Row],[Lesson 1 
Date 
(DD-MMM-YYYY)]])</f>
        <v>5</v>
      </c>
      <c r="BL26" s="65">
        <v>0.54166666666666663</v>
      </c>
      <c r="BM26" s="66">
        <v>0.60416666666666663</v>
      </c>
      <c r="BN26" s="92" t="s">
        <v>850</v>
      </c>
      <c r="BO26" s="54" t="s">
        <v>163</v>
      </c>
      <c r="BP26" s="69" t="s">
        <v>959</v>
      </c>
      <c r="BQ26" s="69" t="s">
        <v>960</v>
      </c>
      <c r="BR26" s="57" t="s">
        <v>923</v>
      </c>
      <c r="BS26" s="54"/>
      <c r="BT26" s="56"/>
      <c r="BU26" s="56"/>
      <c r="BV26" s="57"/>
      <c r="BW26" s="60">
        <v>100</v>
      </c>
      <c r="BX26" s="71">
        <v>0</v>
      </c>
      <c r="BY26" s="56" t="s">
        <v>149</v>
      </c>
      <c r="BZ26" s="56"/>
      <c r="CA26" s="56" t="s">
        <v>831</v>
      </c>
      <c r="CB26" s="72"/>
      <c r="CC26" s="72"/>
      <c r="CD26" s="72"/>
      <c r="CE26" s="56" t="s">
        <v>832</v>
      </c>
      <c r="CF26" s="57" t="s">
        <v>833</v>
      </c>
      <c r="CG26" s="60" t="s">
        <v>834</v>
      </c>
      <c r="CH26" s="71" t="s">
        <v>835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915</v>
      </c>
      <c r="D27" s="50"/>
      <c r="E27" s="51">
        <v>5697</v>
      </c>
      <c r="F27" s="52" t="s">
        <v>134</v>
      </c>
      <c r="G27" s="53" t="s">
        <v>819</v>
      </c>
      <c r="H27" s="97" t="s">
        <v>916</v>
      </c>
      <c r="I27" s="53" t="s">
        <v>917</v>
      </c>
      <c r="J27" s="54" t="s">
        <v>918</v>
      </c>
      <c r="K27" s="55" t="s">
        <v>919</v>
      </c>
      <c r="L27" s="55">
        <v>3</v>
      </c>
      <c r="M27" s="56" t="s">
        <v>920</v>
      </c>
      <c r="N27" s="57" t="s">
        <v>921</v>
      </c>
      <c r="O27" s="78" t="s">
        <v>146</v>
      </c>
      <c r="P27" s="96" t="s">
        <v>146</v>
      </c>
      <c r="Q27" s="60" t="s">
        <v>826</v>
      </c>
      <c r="R27" s="61" t="s">
        <v>827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850</v>
      </c>
      <c r="AP27" s="68">
        <v>46310</v>
      </c>
      <c r="AQ27" s="64">
        <f>WEEKDAY(Sheet_1_Table_1_13[[#This Row],[Lesson 1 
Date 
(DD-MMM-YYYY)]])</f>
        <v>5</v>
      </c>
      <c r="AR27" s="65">
        <v>0.60416666666666663</v>
      </c>
      <c r="AS27" s="66">
        <v>0.66666666666666663</v>
      </c>
      <c r="AT27" s="92" t="s">
        <v>850</v>
      </c>
      <c r="AU27" s="63">
        <v>46317</v>
      </c>
      <c r="AV27" s="64">
        <f>WEEKDAY(Sheet_1_Table_1_13[[#This Row],[Lesson 1 
Date 
(DD-MMM-YYYY)]])</f>
        <v>5</v>
      </c>
      <c r="AW27" s="65">
        <v>0.60416666666666663</v>
      </c>
      <c r="AX27" s="66">
        <v>0.66666666666666663</v>
      </c>
      <c r="AY27" s="92" t="s">
        <v>850</v>
      </c>
      <c r="AZ27" s="98">
        <v>46324</v>
      </c>
      <c r="BA27" s="64">
        <f>WEEKDAY(Sheet_1_Table_1_13[[#This Row],[Lesson 1 
Date 
(DD-MMM-YYYY)]])</f>
        <v>5</v>
      </c>
      <c r="BB27" s="65">
        <v>0.60416666666666663</v>
      </c>
      <c r="BC27" s="66">
        <v>0.66666666666666663</v>
      </c>
      <c r="BD27" s="92" t="s">
        <v>850</v>
      </c>
      <c r="BE27" s="63">
        <v>46331</v>
      </c>
      <c r="BF27" s="64">
        <f>WEEKDAY(Sheet_1_Table_1_13[[#This Row],[Lesson 1 
Date 
(DD-MMM-YYYY)]])</f>
        <v>5</v>
      </c>
      <c r="BG27" s="65">
        <v>0.60416666666666663</v>
      </c>
      <c r="BH27" s="66">
        <v>0.66666666666666663</v>
      </c>
      <c r="BI27" s="92" t="s">
        <v>850</v>
      </c>
      <c r="BJ27" s="98">
        <v>46338</v>
      </c>
      <c r="BK27" s="64">
        <f>WEEKDAY(Sheet_1_Table_1_13[[#This Row],[Lesson 1 
Date 
(DD-MMM-YYYY)]])</f>
        <v>5</v>
      </c>
      <c r="BL27" s="65">
        <v>0.60416666666666663</v>
      </c>
      <c r="BM27" s="66">
        <v>0.66666666666666663</v>
      </c>
      <c r="BN27" s="92" t="s">
        <v>850</v>
      </c>
      <c r="BO27" s="54" t="s">
        <v>163</v>
      </c>
      <c r="BP27" s="69" t="s">
        <v>959</v>
      </c>
      <c r="BQ27" s="69" t="s">
        <v>960</v>
      </c>
      <c r="BR27" s="57" t="s">
        <v>923</v>
      </c>
      <c r="BS27" s="54"/>
      <c r="BT27" s="56"/>
      <c r="BU27" s="56"/>
      <c r="BV27" s="57"/>
      <c r="BW27" s="60">
        <v>100</v>
      </c>
      <c r="BX27" s="71">
        <v>0</v>
      </c>
      <c r="BY27" s="56" t="s">
        <v>149</v>
      </c>
      <c r="BZ27" s="56"/>
      <c r="CA27" s="56" t="s">
        <v>831</v>
      </c>
      <c r="CB27" s="72"/>
      <c r="CC27" s="72"/>
      <c r="CD27" s="72"/>
      <c r="CE27" s="56" t="s">
        <v>832</v>
      </c>
      <c r="CF27" s="57" t="s">
        <v>833</v>
      </c>
      <c r="CG27" s="60" t="s">
        <v>834</v>
      </c>
      <c r="CH27" s="71" t="s">
        <v>835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961</v>
      </c>
      <c r="D28" s="50"/>
      <c r="E28" s="51">
        <v>5701</v>
      </c>
      <c r="F28" s="52" t="s">
        <v>134</v>
      </c>
      <c r="G28" s="53" t="s">
        <v>819</v>
      </c>
      <c r="H28" s="97" t="s">
        <v>844</v>
      </c>
      <c r="I28" s="53" t="s">
        <v>845</v>
      </c>
      <c r="J28" s="54" t="s">
        <v>962</v>
      </c>
      <c r="K28" s="55" t="s">
        <v>963</v>
      </c>
      <c r="L28" s="55"/>
      <c r="M28" s="56" t="s">
        <v>964</v>
      </c>
      <c r="N28" s="57" t="s">
        <v>965</v>
      </c>
      <c r="O28" s="78" t="s">
        <v>146</v>
      </c>
      <c r="P28" s="96" t="s">
        <v>146</v>
      </c>
      <c r="Q28" s="60" t="s">
        <v>826</v>
      </c>
      <c r="R28" s="77" t="s">
        <v>827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850</v>
      </c>
      <c r="AP28" s="68">
        <v>46310</v>
      </c>
      <c r="AQ28" s="64">
        <f>WEEKDAY(Sheet_1_Table_1_13[[#This Row],[Lesson 1 
Date 
(DD-MMM-YYYY)]])</f>
        <v>5</v>
      </c>
      <c r="AR28" s="65">
        <v>0.79166666666666663</v>
      </c>
      <c r="AS28" s="66">
        <v>0.875</v>
      </c>
      <c r="AT28" s="103" t="s">
        <v>850</v>
      </c>
      <c r="AU28" s="63">
        <v>46317</v>
      </c>
      <c r="AV28" s="64">
        <f>WEEKDAY(Sheet_1_Table_1_13[[#This Row],[Lesson 1 
Date 
(DD-MMM-YYYY)]])</f>
        <v>5</v>
      </c>
      <c r="AW28" s="65">
        <v>0.79166666666666663</v>
      </c>
      <c r="AX28" s="66">
        <v>0.875</v>
      </c>
      <c r="AY28" s="103" t="s">
        <v>850</v>
      </c>
      <c r="AZ28" s="98">
        <v>46324</v>
      </c>
      <c r="BA28" s="64">
        <f>WEEKDAY(Sheet_1_Table_1_13[[#This Row],[Lesson 1 
Date 
(DD-MMM-YYYY)]])</f>
        <v>5</v>
      </c>
      <c r="BB28" s="65">
        <v>0.79166666666666663</v>
      </c>
      <c r="BC28" s="66">
        <v>0.875</v>
      </c>
      <c r="BD28" s="103" t="s">
        <v>850</v>
      </c>
      <c r="BE28" s="63">
        <v>46331</v>
      </c>
      <c r="BF28" s="64">
        <f>WEEKDAY(Sheet_1_Table_1_13[[#This Row],[Lesson 1 
Date 
(DD-MMM-YYYY)]])</f>
        <v>5</v>
      </c>
      <c r="BG28" s="65">
        <v>0.79166666666666663</v>
      </c>
      <c r="BH28" s="66">
        <v>0.875</v>
      </c>
      <c r="BI28" s="103" t="s">
        <v>850</v>
      </c>
      <c r="BJ28" s="98">
        <v>46338</v>
      </c>
      <c r="BK28" s="64">
        <f>WEEKDAY(Sheet_1_Table_1_13[[#This Row],[Lesson 1 
Date 
(DD-MMM-YYYY)]])</f>
        <v>5</v>
      </c>
      <c r="BL28" s="65">
        <v>0.79166666666666663</v>
      </c>
      <c r="BM28" s="66">
        <v>0.875</v>
      </c>
      <c r="BN28" s="103" t="s">
        <v>850</v>
      </c>
      <c r="BO28" s="54" t="s">
        <v>291</v>
      </c>
      <c r="BP28" s="69" t="s">
        <v>966</v>
      </c>
      <c r="BQ28" s="69" t="s">
        <v>440</v>
      </c>
      <c r="BR28" s="57" t="s">
        <v>967</v>
      </c>
      <c r="BS28" s="54"/>
      <c r="BT28" s="56"/>
      <c r="BU28" s="56"/>
      <c r="BV28" s="57"/>
      <c r="BW28" s="60">
        <v>100</v>
      </c>
      <c r="BX28" s="71">
        <v>0</v>
      </c>
      <c r="BY28" s="56" t="s">
        <v>149</v>
      </c>
      <c r="BZ28" s="56"/>
      <c r="CA28" s="56" t="s">
        <v>831</v>
      </c>
      <c r="CB28" s="72"/>
      <c r="CC28" s="72"/>
      <c r="CD28" s="72"/>
      <c r="CE28" s="56" t="s">
        <v>832</v>
      </c>
      <c r="CF28" s="57" t="s">
        <v>833</v>
      </c>
      <c r="CG28" s="60" t="s">
        <v>834</v>
      </c>
      <c r="CH28" s="71" t="s">
        <v>835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968</v>
      </c>
      <c r="D29" s="50"/>
      <c r="E29" s="51">
        <v>5708</v>
      </c>
      <c r="F29" s="52" t="s">
        <v>134</v>
      </c>
      <c r="G29" s="53" t="s">
        <v>819</v>
      </c>
      <c r="H29" s="97" t="s">
        <v>302</v>
      </c>
      <c r="I29" s="53" t="s">
        <v>303</v>
      </c>
      <c r="J29" s="54" t="s">
        <v>969</v>
      </c>
      <c r="K29" s="55" t="s">
        <v>970</v>
      </c>
      <c r="L29" s="55"/>
      <c r="M29" s="56" t="s">
        <v>971</v>
      </c>
      <c r="N29" s="57" t="s">
        <v>972</v>
      </c>
      <c r="O29" s="78" t="s">
        <v>146</v>
      </c>
      <c r="P29" s="96" t="s">
        <v>146</v>
      </c>
      <c r="Q29" s="60" t="s">
        <v>826</v>
      </c>
      <c r="R29" s="61" t="s">
        <v>827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872</v>
      </c>
      <c r="AP29" s="68">
        <v>46310</v>
      </c>
      <c r="AQ29" s="64">
        <f>WEEKDAY(Sheet_1_Table_1_13[[#This Row],[Lesson 1 
Date 
(DD-MMM-YYYY)]])</f>
        <v>5</v>
      </c>
      <c r="AR29" s="65">
        <v>0.41666666666666669</v>
      </c>
      <c r="AS29" s="66">
        <v>0.47916666666666669</v>
      </c>
      <c r="AT29" s="103" t="s">
        <v>872</v>
      </c>
      <c r="AU29" s="63">
        <v>46317</v>
      </c>
      <c r="AV29" s="64">
        <f>WEEKDAY(Sheet_1_Table_1_13[[#This Row],[Lesson 1 
Date 
(DD-MMM-YYYY)]])</f>
        <v>5</v>
      </c>
      <c r="AW29" s="65">
        <v>0.41666666666666669</v>
      </c>
      <c r="AX29" s="66">
        <v>0.47916666666666669</v>
      </c>
      <c r="AY29" s="103" t="s">
        <v>872</v>
      </c>
      <c r="AZ29" s="98">
        <v>46324</v>
      </c>
      <c r="BA29" s="64">
        <f>WEEKDAY(Sheet_1_Table_1_13[[#This Row],[Lesson 1 
Date 
(DD-MMM-YYYY)]])</f>
        <v>5</v>
      </c>
      <c r="BB29" s="65">
        <v>0.41666666666666669</v>
      </c>
      <c r="BC29" s="66">
        <v>0.47916666666666669</v>
      </c>
      <c r="BD29" s="103" t="s">
        <v>872</v>
      </c>
      <c r="BE29" s="63">
        <v>46331</v>
      </c>
      <c r="BF29" s="64">
        <f>WEEKDAY(Sheet_1_Table_1_13[[#This Row],[Lesson 1 
Date 
(DD-MMM-YYYY)]])</f>
        <v>5</v>
      </c>
      <c r="BG29" s="65">
        <v>0.41666666666666669</v>
      </c>
      <c r="BH29" s="66">
        <v>0.47916666666666669</v>
      </c>
      <c r="BI29" s="103" t="s">
        <v>872</v>
      </c>
      <c r="BJ29" s="98">
        <v>46338</v>
      </c>
      <c r="BK29" s="64">
        <f>WEEKDAY(Sheet_1_Table_1_13[[#This Row],[Lesson 1 
Date 
(DD-MMM-YYYY)]])</f>
        <v>5</v>
      </c>
      <c r="BL29" s="65">
        <v>0.41666666666666669</v>
      </c>
      <c r="BM29" s="66">
        <v>0.47916666666666669</v>
      </c>
      <c r="BN29" s="103" t="s">
        <v>872</v>
      </c>
      <c r="BO29" s="54" t="s">
        <v>291</v>
      </c>
      <c r="BP29" s="69" t="s">
        <v>973</v>
      </c>
      <c r="BQ29" s="69" t="s">
        <v>440</v>
      </c>
      <c r="BR29" s="57" t="s">
        <v>974</v>
      </c>
      <c r="BS29" s="54"/>
      <c r="BT29" s="56"/>
      <c r="BU29" s="56"/>
      <c r="BV29" s="57"/>
      <c r="BW29" s="60">
        <v>100</v>
      </c>
      <c r="BX29" s="71">
        <v>0</v>
      </c>
      <c r="BY29" s="56" t="s">
        <v>149</v>
      </c>
      <c r="BZ29" s="56"/>
      <c r="CA29" s="56" t="s">
        <v>831</v>
      </c>
      <c r="CB29" s="72"/>
      <c r="CC29" s="72"/>
      <c r="CD29" s="72"/>
      <c r="CE29" s="56" t="s">
        <v>832</v>
      </c>
      <c r="CF29" s="57" t="s">
        <v>833</v>
      </c>
      <c r="CG29" s="60" t="s">
        <v>834</v>
      </c>
      <c r="CH29" s="71" t="s">
        <v>835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975</v>
      </c>
      <c r="D30" s="50"/>
      <c r="E30" s="51">
        <v>5707</v>
      </c>
      <c r="F30" s="52" t="s">
        <v>134</v>
      </c>
      <c r="G30" s="53" t="s">
        <v>819</v>
      </c>
      <c r="H30" s="97" t="s">
        <v>302</v>
      </c>
      <c r="I30" s="53" t="s">
        <v>303</v>
      </c>
      <c r="J30" s="54" t="s">
        <v>976</v>
      </c>
      <c r="K30" s="55" t="s">
        <v>977</v>
      </c>
      <c r="L30" s="55"/>
      <c r="M30" s="56" t="s">
        <v>978</v>
      </c>
      <c r="N30" s="57" t="s">
        <v>979</v>
      </c>
      <c r="O30" s="58" t="s">
        <v>146</v>
      </c>
      <c r="P30" s="96" t="s">
        <v>146</v>
      </c>
      <c r="Q30" s="60" t="s">
        <v>826</v>
      </c>
      <c r="R30" s="61" t="s">
        <v>827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872</v>
      </c>
      <c r="AP30" s="68">
        <v>46310</v>
      </c>
      <c r="AQ30" s="64">
        <f>WEEKDAY(Sheet_1_Table_1_13[[#This Row],[Lesson 1 
Date 
(DD-MMM-YYYY)]])</f>
        <v>5</v>
      </c>
      <c r="AR30" s="65">
        <v>0.47916666666666669</v>
      </c>
      <c r="AS30" s="66">
        <v>0.54166666666666663</v>
      </c>
      <c r="AT30" s="103" t="s">
        <v>872</v>
      </c>
      <c r="AU30" s="63">
        <v>46317</v>
      </c>
      <c r="AV30" s="64">
        <f>WEEKDAY(Sheet_1_Table_1_13[[#This Row],[Lesson 1 
Date 
(DD-MMM-YYYY)]])</f>
        <v>5</v>
      </c>
      <c r="AW30" s="65">
        <v>0.47916666666666669</v>
      </c>
      <c r="AX30" s="66">
        <v>0.54166666666666663</v>
      </c>
      <c r="AY30" s="103" t="s">
        <v>872</v>
      </c>
      <c r="AZ30" s="98">
        <v>46324</v>
      </c>
      <c r="BA30" s="64">
        <f>WEEKDAY(Sheet_1_Table_1_13[[#This Row],[Lesson 1 
Date 
(DD-MMM-YYYY)]])</f>
        <v>5</v>
      </c>
      <c r="BB30" s="65">
        <v>0.47916666666666669</v>
      </c>
      <c r="BC30" s="66">
        <v>0.54166666666666663</v>
      </c>
      <c r="BD30" s="103" t="s">
        <v>872</v>
      </c>
      <c r="BE30" s="63">
        <v>46331</v>
      </c>
      <c r="BF30" s="64">
        <f>WEEKDAY(Sheet_1_Table_1_13[[#This Row],[Lesson 1 
Date 
(DD-MMM-YYYY)]])</f>
        <v>5</v>
      </c>
      <c r="BG30" s="65">
        <v>0.47916666666666669</v>
      </c>
      <c r="BH30" s="66">
        <v>0.54166666666666663</v>
      </c>
      <c r="BI30" s="103" t="s">
        <v>872</v>
      </c>
      <c r="BJ30" s="98">
        <v>46338</v>
      </c>
      <c r="BK30" s="64">
        <f>WEEKDAY(Sheet_1_Table_1_13[[#This Row],[Lesson 1 
Date 
(DD-MMM-YYYY)]])</f>
        <v>5</v>
      </c>
      <c r="BL30" s="65">
        <v>0.47916666666666669</v>
      </c>
      <c r="BM30" s="66">
        <v>0.54166666666666663</v>
      </c>
      <c r="BN30" s="103" t="s">
        <v>872</v>
      </c>
      <c r="BO30" s="54" t="s">
        <v>291</v>
      </c>
      <c r="BP30" s="69" t="s">
        <v>973</v>
      </c>
      <c r="BQ30" s="69" t="s">
        <v>440</v>
      </c>
      <c r="BR30" s="57" t="s">
        <v>974</v>
      </c>
      <c r="BS30" s="54"/>
      <c r="BT30" s="56"/>
      <c r="BU30" s="56"/>
      <c r="BV30" s="57"/>
      <c r="BW30" s="60">
        <v>100</v>
      </c>
      <c r="BX30" s="71">
        <v>0</v>
      </c>
      <c r="BY30" s="56" t="s">
        <v>149</v>
      </c>
      <c r="BZ30" s="56"/>
      <c r="CA30" s="56" t="s">
        <v>831</v>
      </c>
      <c r="CB30" s="72"/>
      <c r="CC30" s="72"/>
      <c r="CD30" s="72"/>
      <c r="CE30" s="56" t="s">
        <v>832</v>
      </c>
      <c r="CF30" s="57" t="s">
        <v>833</v>
      </c>
      <c r="CG30" s="60" t="s">
        <v>834</v>
      </c>
      <c r="CH30" s="71" t="s">
        <v>835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980</v>
      </c>
      <c r="D31" s="50"/>
      <c r="E31" s="51">
        <v>5688</v>
      </c>
      <c r="F31" s="52" t="s">
        <v>134</v>
      </c>
      <c r="G31" s="53" t="s">
        <v>819</v>
      </c>
      <c r="H31" s="97" t="s">
        <v>820</v>
      </c>
      <c r="I31" s="53" t="s">
        <v>821</v>
      </c>
      <c r="J31" s="54" t="s">
        <v>981</v>
      </c>
      <c r="K31" s="55" t="s">
        <v>982</v>
      </c>
      <c r="L31" s="55"/>
      <c r="M31" s="56" t="s">
        <v>983</v>
      </c>
      <c r="N31" s="57" t="s">
        <v>984</v>
      </c>
      <c r="O31" s="58" t="s">
        <v>146</v>
      </c>
      <c r="P31" s="96" t="s">
        <v>146</v>
      </c>
      <c r="Q31" s="60" t="s">
        <v>826</v>
      </c>
      <c r="R31" s="77" t="str">
        <f>VLOOKUP(Sheet_1_Table_1_13[[#This Row],[Learning Domain]],[1]List!$A$7:$B$12,2,0)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895</v>
      </c>
      <c r="AP31" s="68">
        <v>46311</v>
      </c>
      <c r="AQ31" s="64">
        <f>WEEKDAY(Sheet_1_Table_1_13[[#This Row],[Lesson 1 
Date 
(DD-MMM-YYYY)]])</f>
        <v>6</v>
      </c>
      <c r="AR31" s="65">
        <v>0.85416666666666663</v>
      </c>
      <c r="AS31" s="66">
        <v>0.89583333333333337</v>
      </c>
      <c r="AT31" s="111" t="s">
        <v>895</v>
      </c>
      <c r="AU31" s="63">
        <v>46318</v>
      </c>
      <c r="AV31" s="64">
        <f>WEEKDAY(Sheet_1_Table_1_13[[#This Row],[Lesson 1 
Date 
(DD-MMM-YYYY)]])</f>
        <v>6</v>
      </c>
      <c r="AW31" s="65">
        <v>0.85416666666666663</v>
      </c>
      <c r="AX31" s="66">
        <v>0.89583333333333337</v>
      </c>
      <c r="AY31" s="111" t="s">
        <v>895</v>
      </c>
      <c r="AZ31" s="98">
        <v>46325</v>
      </c>
      <c r="BA31" s="64">
        <f>WEEKDAY(Sheet_1_Table_1_13[[#This Row],[Lesson 1 
Date 
(DD-MMM-YYYY)]])</f>
        <v>6</v>
      </c>
      <c r="BB31" s="65">
        <v>0.85416666666666663</v>
      </c>
      <c r="BC31" s="66">
        <v>0.89583333333333337</v>
      </c>
      <c r="BD31" s="111" t="s">
        <v>895</v>
      </c>
      <c r="BE31" s="63">
        <v>46332</v>
      </c>
      <c r="BF31" s="64">
        <f>WEEKDAY(Sheet_1_Table_1_13[[#This Row],[Lesson 1 
Date 
(DD-MMM-YYYY)]])</f>
        <v>6</v>
      </c>
      <c r="BG31" s="65">
        <v>0.85416666666666663</v>
      </c>
      <c r="BH31" s="66">
        <v>0.89583333333333337</v>
      </c>
      <c r="BI31" s="111" t="s">
        <v>895</v>
      </c>
      <c r="BJ31" s="98">
        <v>46339</v>
      </c>
      <c r="BK31" s="64">
        <f>WEEKDAY(Sheet_1_Table_1_13[[#This Row],[Lesson 1 
Date 
(DD-MMM-YYYY)]])</f>
        <v>6</v>
      </c>
      <c r="BL31" s="65">
        <v>0.85416666666666663</v>
      </c>
      <c r="BM31" s="66">
        <v>0.89583333333333337</v>
      </c>
      <c r="BN31" s="111" t="s">
        <v>895</v>
      </c>
      <c r="BO31" s="54" t="s">
        <v>291</v>
      </c>
      <c r="BP31" s="69" t="s">
        <v>985</v>
      </c>
      <c r="BQ31" s="69" t="s">
        <v>986</v>
      </c>
      <c r="BR31" s="57" t="s">
        <v>987</v>
      </c>
      <c r="BS31" s="54"/>
      <c r="BT31" s="56"/>
      <c r="BU31" s="56"/>
      <c r="BV31" s="57"/>
      <c r="BW31" s="60">
        <v>0</v>
      </c>
      <c r="BX31" s="71">
        <v>100</v>
      </c>
      <c r="BY31" s="56"/>
      <c r="BZ31" s="56"/>
      <c r="CA31" s="56" t="s">
        <v>831</v>
      </c>
      <c r="CB31" s="72"/>
      <c r="CC31" s="72"/>
      <c r="CD31" s="72"/>
      <c r="CE31" s="56" t="s">
        <v>832</v>
      </c>
      <c r="CF31" s="57" t="s">
        <v>833</v>
      </c>
      <c r="CG31" s="60" t="s">
        <v>834</v>
      </c>
      <c r="CH31" s="71" t="s">
        <v>835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988</v>
      </c>
      <c r="D32" s="50"/>
      <c r="E32" s="51">
        <v>5698</v>
      </c>
      <c r="F32" s="52" t="s">
        <v>134</v>
      </c>
      <c r="G32" s="53" t="s">
        <v>819</v>
      </c>
      <c r="H32" s="97" t="s">
        <v>916</v>
      </c>
      <c r="I32" s="53" t="s">
        <v>917</v>
      </c>
      <c r="J32" s="54" t="s">
        <v>989</v>
      </c>
      <c r="K32" s="55" t="s">
        <v>990</v>
      </c>
      <c r="L32" s="55"/>
      <c r="M32" s="56" t="s">
        <v>991</v>
      </c>
      <c r="N32" s="57" t="s">
        <v>992</v>
      </c>
      <c r="O32" s="78" t="s">
        <v>146</v>
      </c>
      <c r="P32" s="96" t="s">
        <v>146</v>
      </c>
      <c r="Q32" s="60" t="s">
        <v>826</v>
      </c>
      <c r="R32" s="61" t="str">
        <f>VLOOKUP(Sheet_1_Table_1_13[[#This Row],[Learning Domain]],[1]List!$A$7:$B$12,2,0)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850</v>
      </c>
      <c r="AP32" s="68">
        <v>46311</v>
      </c>
      <c r="AQ32" s="64">
        <f>WEEKDAY(Sheet_1_Table_1_13[[#This Row],[Lesson 1 
Date 
(DD-MMM-YYYY)]])</f>
        <v>6</v>
      </c>
      <c r="AR32" s="65">
        <v>0.58333333333333337</v>
      </c>
      <c r="AS32" s="66">
        <v>0.64583333333333337</v>
      </c>
      <c r="AT32" s="92" t="s">
        <v>850</v>
      </c>
      <c r="AU32" s="63">
        <v>46318</v>
      </c>
      <c r="AV32" s="64">
        <f>WEEKDAY(Sheet_1_Table_1_13[[#This Row],[Lesson 1 
Date 
(DD-MMM-YYYY)]])</f>
        <v>6</v>
      </c>
      <c r="AW32" s="65">
        <v>0.58333333333333337</v>
      </c>
      <c r="AX32" s="66">
        <v>0.64583333333333337</v>
      </c>
      <c r="AY32" s="92" t="s">
        <v>850</v>
      </c>
      <c r="AZ32" s="98">
        <v>46325</v>
      </c>
      <c r="BA32" s="64">
        <f>WEEKDAY(Sheet_1_Table_1_13[[#This Row],[Lesson 1 
Date 
(DD-MMM-YYYY)]])</f>
        <v>6</v>
      </c>
      <c r="BB32" s="65">
        <v>0.58333333333333337</v>
      </c>
      <c r="BC32" s="66">
        <v>0.64583333333333337</v>
      </c>
      <c r="BD32" s="92" t="s">
        <v>850</v>
      </c>
      <c r="BE32" s="63">
        <v>46332</v>
      </c>
      <c r="BF32" s="64">
        <f>WEEKDAY(Sheet_1_Table_1_13[[#This Row],[Lesson 1 
Date 
(DD-MMM-YYYY)]])</f>
        <v>6</v>
      </c>
      <c r="BG32" s="65">
        <v>0.58333333333333337</v>
      </c>
      <c r="BH32" s="66">
        <v>0.64583333333333337</v>
      </c>
      <c r="BI32" s="92" t="s">
        <v>850</v>
      </c>
      <c r="BJ32" s="98">
        <v>46339</v>
      </c>
      <c r="BK32" s="64">
        <f>WEEKDAY(Sheet_1_Table_1_13[[#This Row],[Lesson 1 
Date 
(DD-MMM-YYYY)]])</f>
        <v>6</v>
      </c>
      <c r="BL32" s="65">
        <v>0.58333333333333337</v>
      </c>
      <c r="BM32" s="66">
        <v>0.64583333333333337</v>
      </c>
      <c r="BN32" s="92" t="s">
        <v>850</v>
      </c>
      <c r="BO32" s="54" t="s">
        <v>163</v>
      </c>
      <c r="BP32" s="69" t="s">
        <v>922</v>
      </c>
      <c r="BQ32" s="69" t="s">
        <v>697</v>
      </c>
      <c r="BR32" s="57" t="s">
        <v>923</v>
      </c>
      <c r="BS32" s="54"/>
      <c r="BT32" s="56"/>
      <c r="BU32" s="56"/>
      <c r="BV32" s="57"/>
      <c r="BW32" s="60">
        <v>100</v>
      </c>
      <c r="BX32" s="71">
        <v>0</v>
      </c>
      <c r="BY32" s="56" t="s">
        <v>149</v>
      </c>
      <c r="BZ32" s="56"/>
      <c r="CA32" s="56" t="s">
        <v>831</v>
      </c>
      <c r="CB32" s="72"/>
      <c r="CC32" s="72"/>
      <c r="CD32" s="72"/>
      <c r="CE32" s="56" t="s">
        <v>832</v>
      </c>
      <c r="CF32" s="57" t="s">
        <v>833</v>
      </c>
      <c r="CG32" s="60" t="s">
        <v>834</v>
      </c>
      <c r="CH32" s="71" t="s">
        <v>835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993</v>
      </c>
      <c r="D33" s="50"/>
      <c r="E33" s="51">
        <v>5694</v>
      </c>
      <c r="F33" s="52" t="s">
        <v>134</v>
      </c>
      <c r="G33" s="53" t="s">
        <v>819</v>
      </c>
      <c r="H33" s="97" t="s">
        <v>916</v>
      </c>
      <c r="I33" s="53" t="s">
        <v>917</v>
      </c>
      <c r="J33" s="54" t="s">
        <v>994</v>
      </c>
      <c r="K33" s="55" t="s">
        <v>995</v>
      </c>
      <c r="L33" s="55"/>
      <c r="M33" s="56" t="s">
        <v>996</v>
      </c>
      <c r="N33" s="57" t="s">
        <v>997</v>
      </c>
      <c r="O33" s="78" t="s">
        <v>146</v>
      </c>
      <c r="P33" s="96" t="s">
        <v>146</v>
      </c>
      <c r="Q33" s="60" t="s">
        <v>826</v>
      </c>
      <c r="R33" s="61" t="str">
        <f>VLOOKUP(Sheet_1_Table_1_13[[#This Row],[Learning Domain]],[1]List!$A$7:$B$12,2,0)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850</v>
      </c>
      <c r="AP33" s="68">
        <v>46311</v>
      </c>
      <c r="AQ33" s="64">
        <f>WEEKDAY(Sheet_1_Table_1_13[[#This Row],[Lesson 1 
Date 
(DD-MMM-YYYY)]])</f>
        <v>6</v>
      </c>
      <c r="AR33" s="65">
        <v>0.64583333333333337</v>
      </c>
      <c r="AS33" s="66">
        <v>0.70833333333333337</v>
      </c>
      <c r="AT33" s="112" t="s">
        <v>850</v>
      </c>
      <c r="AU33" s="63">
        <v>46318</v>
      </c>
      <c r="AV33" s="64">
        <f>WEEKDAY(Sheet_1_Table_1_13[[#This Row],[Lesson 1 
Date 
(DD-MMM-YYYY)]])</f>
        <v>6</v>
      </c>
      <c r="AW33" s="65">
        <v>0.64583333333333337</v>
      </c>
      <c r="AX33" s="66">
        <v>0.70833333333333337</v>
      </c>
      <c r="AY33" s="112" t="s">
        <v>850</v>
      </c>
      <c r="AZ33" s="98">
        <v>46325</v>
      </c>
      <c r="BA33" s="64">
        <f>WEEKDAY(Sheet_1_Table_1_13[[#This Row],[Lesson 1 
Date 
(DD-MMM-YYYY)]])</f>
        <v>6</v>
      </c>
      <c r="BB33" s="65">
        <v>0.64583333333333337</v>
      </c>
      <c r="BC33" s="66">
        <v>0.70833333333333337</v>
      </c>
      <c r="BD33" s="112" t="s">
        <v>850</v>
      </c>
      <c r="BE33" s="63">
        <v>46332</v>
      </c>
      <c r="BF33" s="64">
        <f>WEEKDAY(Sheet_1_Table_1_13[[#This Row],[Lesson 1 
Date 
(DD-MMM-YYYY)]])</f>
        <v>6</v>
      </c>
      <c r="BG33" s="65">
        <v>0.64583333333333337</v>
      </c>
      <c r="BH33" s="66">
        <v>0.70833333333333337</v>
      </c>
      <c r="BI33" s="112" t="s">
        <v>850</v>
      </c>
      <c r="BJ33" s="98">
        <v>46339</v>
      </c>
      <c r="BK33" s="64">
        <f>WEEKDAY(Sheet_1_Table_1_13[[#This Row],[Lesson 1 
Date 
(DD-MMM-YYYY)]])</f>
        <v>6</v>
      </c>
      <c r="BL33" s="65">
        <v>0.64583333333333337</v>
      </c>
      <c r="BM33" s="66">
        <v>0.70833333333333337</v>
      </c>
      <c r="BN33" s="113" t="s">
        <v>850</v>
      </c>
      <c r="BO33" s="54" t="s">
        <v>163</v>
      </c>
      <c r="BP33" s="69" t="s">
        <v>922</v>
      </c>
      <c r="BQ33" s="69" t="s">
        <v>697</v>
      </c>
      <c r="BR33" s="57" t="s">
        <v>923</v>
      </c>
      <c r="BS33" s="54"/>
      <c r="BT33" s="56"/>
      <c r="BU33" s="56"/>
      <c r="BV33" s="57"/>
      <c r="BW33" s="60">
        <v>100</v>
      </c>
      <c r="BX33" s="71">
        <v>0</v>
      </c>
      <c r="BY33" s="56" t="s">
        <v>149</v>
      </c>
      <c r="BZ33" s="56"/>
      <c r="CA33" s="56" t="s">
        <v>831</v>
      </c>
      <c r="CB33" s="72"/>
      <c r="CC33" s="72"/>
      <c r="CD33" s="72"/>
      <c r="CE33" s="56" t="s">
        <v>832</v>
      </c>
      <c r="CF33" s="57" t="s">
        <v>833</v>
      </c>
      <c r="CG33" s="60" t="s">
        <v>834</v>
      </c>
      <c r="CH33" s="71" t="s">
        <v>835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998</v>
      </c>
      <c r="D34" s="50"/>
      <c r="E34" s="51">
        <v>5702</v>
      </c>
      <c r="F34" s="52" t="s">
        <v>134</v>
      </c>
      <c r="G34" s="53" t="s">
        <v>819</v>
      </c>
      <c r="H34" s="97" t="s">
        <v>844</v>
      </c>
      <c r="I34" s="53" t="s">
        <v>845</v>
      </c>
      <c r="J34" s="54" t="s">
        <v>999</v>
      </c>
      <c r="K34" s="55" t="s">
        <v>1000</v>
      </c>
      <c r="L34" s="55"/>
      <c r="M34" s="56" t="s">
        <v>1001</v>
      </c>
      <c r="N34" s="57" t="s">
        <v>1002</v>
      </c>
      <c r="O34" s="114" t="s">
        <v>146</v>
      </c>
      <c r="P34" s="96" t="s">
        <v>146</v>
      </c>
      <c r="Q34" s="60" t="s">
        <v>826</v>
      </c>
      <c r="R34" s="61" t="s">
        <v>827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850</v>
      </c>
      <c r="AP34" s="68">
        <v>46311</v>
      </c>
      <c r="AQ34" s="64">
        <f>WEEKDAY(Sheet_1_Table_1_13[[#This Row],[Lesson 1 
Date 
(DD-MMM-YYYY)]])</f>
        <v>6</v>
      </c>
      <c r="AR34" s="65">
        <v>0.77083333333333337</v>
      </c>
      <c r="AS34" s="66">
        <v>0.85416666666666663</v>
      </c>
      <c r="AT34" s="115" t="s">
        <v>850</v>
      </c>
      <c r="AU34" s="63">
        <v>46318</v>
      </c>
      <c r="AV34" s="64">
        <f>WEEKDAY(Sheet_1_Table_1_13[[#This Row],[Lesson 1 
Date 
(DD-MMM-YYYY)]])</f>
        <v>6</v>
      </c>
      <c r="AW34" s="65">
        <v>0.77083333333333337</v>
      </c>
      <c r="AX34" s="66">
        <v>0.85416666666666663</v>
      </c>
      <c r="AY34" s="115" t="s">
        <v>850</v>
      </c>
      <c r="AZ34" s="98">
        <v>46325</v>
      </c>
      <c r="BA34" s="64">
        <f>WEEKDAY(Sheet_1_Table_1_13[[#This Row],[Lesson 1 
Date 
(DD-MMM-YYYY)]])</f>
        <v>6</v>
      </c>
      <c r="BB34" s="65">
        <v>0.77083333333333337</v>
      </c>
      <c r="BC34" s="66">
        <v>0.85416666666666663</v>
      </c>
      <c r="BD34" s="115" t="s">
        <v>850</v>
      </c>
      <c r="BE34" s="116">
        <v>46332</v>
      </c>
      <c r="BF34" s="64">
        <f>WEEKDAY(Sheet_1_Table_1_13[[#This Row],[Lesson 1 
Date 
(DD-MMM-YYYY)]])</f>
        <v>6</v>
      </c>
      <c r="BG34" s="117">
        <v>0.77083333333333337</v>
      </c>
      <c r="BH34" s="66">
        <v>0.85416666666666663</v>
      </c>
      <c r="BI34" s="115" t="s">
        <v>850</v>
      </c>
      <c r="BJ34" s="98">
        <v>46339</v>
      </c>
      <c r="BK34" s="64">
        <f>WEEKDAY(Sheet_1_Table_1_13[[#This Row],[Lesson 1 
Date 
(DD-MMM-YYYY)]])</f>
        <v>6</v>
      </c>
      <c r="BL34" s="65">
        <v>0.77083333333333337</v>
      </c>
      <c r="BM34" s="66">
        <v>0.85416666666666663</v>
      </c>
      <c r="BN34" s="100" t="s">
        <v>850</v>
      </c>
      <c r="BO34" s="54" t="s">
        <v>291</v>
      </c>
      <c r="BP34" s="69" t="s">
        <v>1003</v>
      </c>
      <c r="BQ34" s="69" t="s">
        <v>697</v>
      </c>
      <c r="BR34" s="57" t="s">
        <v>1004</v>
      </c>
      <c r="BS34" s="54" t="s">
        <v>163</v>
      </c>
      <c r="BT34" s="56" t="s">
        <v>1005</v>
      </c>
      <c r="BU34" s="56" t="s">
        <v>1006</v>
      </c>
      <c r="BV34" s="57" t="s">
        <v>1007</v>
      </c>
      <c r="BW34" s="60">
        <v>100</v>
      </c>
      <c r="BX34" s="71">
        <v>0</v>
      </c>
      <c r="BY34" s="56" t="s">
        <v>149</v>
      </c>
      <c r="BZ34" s="56"/>
      <c r="CA34" s="56" t="s">
        <v>831</v>
      </c>
      <c r="CB34" s="72"/>
      <c r="CC34" s="72"/>
      <c r="CD34" s="72"/>
      <c r="CE34" s="56" t="s">
        <v>832</v>
      </c>
      <c r="CF34" s="57" t="s">
        <v>833</v>
      </c>
      <c r="CG34" s="60" t="s">
        <v>834</v>
      </c>
      <c r="CH34" s="71" t="s">
        <v>835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1008</v>
      </c>
      <c r="D35" s="50"/>
      <c r="E35" s="118">
        <v>5712</v>
      </c>
      <c r="F35" s="82" t="s">
        <v>134</v>
      </c>
      <c r="G35" s="53" t="s">
        <v>819</v>
      </c>
      <c r="H35" s="119" t="s">
        <v>302</v>
      </c>
      <c r="I35" s="120" t="s">
        <v>303</v>
      </c>
      <c r="J35" s="121" t="s">
        <v>1009</v>
      </c>
      <c r="K35" s="55" t="s">
        <v>1010</v>
      </c>
      <c r="L35" s="55"/>
      <c r="M35" s="56" t="s">
        <v>1011</v>
      </c>
      <c r="N35" s="122" t="s">
        <v>1012</v>
      </c>
      <c r="O35" s="114" t="s">
        <v>146</v>
      </c>
      <c r="P35" s="96" t="s">
        <v>146</v>
      </c>
      <c r="Q35" s="86" t="s">
        <v>826</v>
      </c>
      <c r="R35" s="61" t="str">
        <f>VLOOKUP(Sheet_1_Table_1_13[[#This Row],[Learning Domain]],[1]List!$A$7:$B$12,2,0)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458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287</v>
      </c>
      <c r="BP35" s="69" t="s">
        <v>1013</v>
      </c>
      <c r="BQ35" s="55" t="s">
        <v>944</v>
      </c>
      <c r="BR35" s="57" t="s">
        <v>1014</v>
      </c>
      <c r="BS35" s="52"/>
      <c r="BT35" s="56"/>
      <c r="BU35" s="56"/>
      <c r="BV35" s="70"/>
      <c r="BW35" s="60">
        <v>0</v>
      </c>
      <c r="BX35" s="71">
        <v>0</v>
      </c>
      <c r="BY35" s="56"/>
      <c r="BZ35" s="56"/>
      <c r="CA35" s="56"/>
      <c r="CB35" s="72"/>
      <c r="CC35" s="72"/>
      <c r="CD35" s="71"/>
      <c r="CE35" s="56" t="s">
        <v>832</v>
      </c>
      <c r="CF35" s="57" t="s">
        <v>833</v>
      </c>
      <c r="CG35" s="60" t="s">
        <v>834</v>
      </c>
      <c r="CH35" s="71" t="s">
        <v>835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1015</v>
      </c>
      <c r="D36" s="50"/>
      <c r="E36" s="51">
        <v>5713</v>
      </c>
      <c r="F36" s="54" t="s">
        <v>134</v>
      </c>
      <c r="G36" s="53" t="s">
        <v>819</v>
      </c>
      <c r="H36" s="119" t="s">
        <v>302</v>
      </c>
      <c r="I36" s="120" t="s">
        <v>303</v>
      </c>
      <c r="J36" s="121" t="s">
        <v>1016</v>
      </c>
      <c r="K36" s="55" t="s">
        <v>1017</v>
      </c>
      <c r="L36" s="55"/>
      <c r="M36" s="56" t="s">
        <v>1018</v>
      </c>
      <c r="N36" s="125" t="s">
        <v>1019</v>
      </c>
      <c r="O36" s="58" t="s">
        <v>146</v>
      </c>
      <c r="P36" s="96" t="s">
        <v>146</v>
      </c>
      <c r="Q36" s="86" t="s">
        <v>826</v>
      </c>
      <c r="R36" s="61" t="str">
        <f>VLOOKUP(Sheet_1_Table_1_13[[#This Row],[Learning Domain]],[1]List!$A$7:$B$12,2,0)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458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287</v>
      </c>
      <c r="BP36" s="69" t="s">
        <v>1013</v>
      </c>
      <c r="BQ36" s="55" t="s">
        <v>944</v>
      </c>
      <c r="BR36" s="57" t="s">
        <v>1014</v>
      </c>
      <c r="BS36" s="54"/>
      <c r="BT36" s="56"/>
      <c r="BU36" s="56"/>
      <c r="BV36" s="57"/>
      <c r="BW36" s="60">
        <v>0</v>
      </c>
      <c r="BX36" s="71">
        <v>0</v>
      </c>
      <c r="BY36" s="56"/>
      <c r="BZ36" s="56"/>
      <c r="CA36" s="56"/>
      <c r="CB36" s="72"/>
      <c r="CC36" s="72"/>
      <c r="CD36" s="72"/>
      <c r="CE36" s="56" t="s">
        <v>832</v>
      </c>
      <c r="CF36" s="57" t="s">
        <v>833</v>
      </c>
      <c r="CG36" s="60" t="s">
        <v>834</v>
      </c>
      <c r="CH36" s="71" t="s">
        <v>835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1020</v>
      </c>
      <c r="D37" s="50"/>
      <c r="E37" s="51">
        <v>5709</v>
      </c>
      <c r="F37" s="52" t="s">
        <v>134</v>
      </c>
      <c r="G37" s="53" t="s">
        <v>819</v>
      </c>
      <c r="H37" s="97" t="s">
        <v>302</v>
      </c>
      <c r="I37" s="53" t="s">
        <v>303</v>
      </c>
      <c r="J37" s="54" t="s">
        <v>1021</v>
      </c>
      <c r="K37" s="55" t="s">
        <v>1022</v>
      </c>
      <c r="L37" s="55"/>
      <c r="M37" s="56" t="s">
        <v>1023</v>
      </c>
      <c r="N37" s="57" t="s">
        <v>1024</v>
      </c>
      <c r="O37" s="58" t="s">
        <v>146</v>
      </c>
      <c r="P37" s="96" t="s">
        <v>146</v>
      </c>
      <c r="Q37" s="60" t="s">
        <v>826</v>
      </c>
      <c r="R37" s="61" t="str">
        <f>VLOOKUP(Sheet_1_Table_1_13[[#This Row],[Learning Domain]],[1]List!$A$7:$B$12,2,0)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1025</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1026</v>
      </c>
      <c r="BS37" s="54"/>
      <c r="BT37" s="56"/>
      <c r="BU37" s="56"/>
      <c r="BV37" s="57"/>
      <c r="BW37" s="60">
        <v>0</v>
      </c>
      <c r="BX37" s="71">
        <v>100</v>
      </c>
      <c r="BY37" s="56"/>
      <c r="BZ37" s="56"/>
      <c r="CA37" s="56" t="s">
        <v>831</v>
      </c>
      <c r="CB37" s="72"/>
      <c r="CC37" s="72"/>
      <c r="CD37" s="72"/>
      <c r="CE37" s="56" t="s">
        <v>832</v>
      </c>
      <c r="CF37" s="57" t="s">
        <v>833</v>
      </c>
      <c r="CG37" s="60" t="s">
        <v>834</v>
      </c>
      <c r="CH37" s="71" t="s">
        <v>835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1027</v>
      </c>
      <c r="D38" s="50"/>
      <c r="E38" s="127">
        <v>5710</v>
      </c>
      <c r="F38" s="52" t="s">
        <v>134</v>
      </c>
      <c r="G38" s="53" t="s">
        <v>819</v>
      </c>
      <c r="H38" s="52" t="s">
        <v>302</v>
      </c>
      <c r="I38" s="59" t="s">
        <v>303</v>
      </c>
      <c r="J38" s="128" t="s">
        <v>1028</v>
      </c>
      <c r="K38" s="129" t="s">
        <v>1029</v>
      </c>
      <c r="L38" s="55"/>
      <c r="M38" s="130" t="s">
        <v>1030</v>
      </c>
      <c r="N38" s="131" t="s">
        <v>1031</v>
      </c>
      <c r="O38" s="78" t="s">
        <v>146</v>
      </c>
      <c r="P38" s="59" t="s">
        <v>146</v>
      </c>
      <c r="Q38" s="60" t="s">
        <v>826</v>
      </c>
      <c r="R38" s="61" t="s">
        <v>827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1025</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1032</v>
      </c>
      <c r="BS38" s="52"/>
      <c r="BT38" s="56"/>
      <c r="BU38" s="56"/>
      <c r="BV38" s="70"/>
      <c r="BW38" s="60">
        <v>0</v>
      </c>
      <c r="BX38" s="71">
        <v>100</v>
      </c>
      <c r="BY38" s="56"/>
      <c r="BZ38" s="56"/>
      <c r="CA38" s="56" t="s">
        <v>831</v>
      </c>
      <c r="CB38" s="72"/>
      <c r="CC38" s="72"/>
      <c r="CD38" s="71"/>
      <c r="CE38" s="56" t="s">
        <v>832</v>
      </c>
      <c r="CF38" s="57" t="s">
        <v>833</v>
      </c>
      <c r="CG38" s="60" t="s">
        <v>834</v>
      </c>
      <c r="CH38" s="71" t="s">
        <v>835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1033</v>
      </c>
      <c r="D39" s="50"/>
      <c r="E39" s="51">
        <v>5711</v>
      </c>
      <c r="F39" s="52" t="s">
        <v>134</v>
      </c>
      <c r="G39" s="53" t="s">
        <v>819</v>
      </c>
      <c r="H39" s="97" t="s">
        <v>302</v>
      </c>
      <c r="I39" s="53" t="s">
        <v>303</v>
      </c>
      <c r="J39" s="54" t="s">
        <v>1034</v>
      </c>
      <c r="K39" s="55" t="s">
        <v>1035</v>
      </c>
      <c r="L39" s="55"/>
      <c r="M39" s="56"/>
      <c r="N39" s="57"/>
      <c r="O39" s="78" t="s">
        <v>146</v>
      </c>
      <c r="P39" s="96" t="s">
        <v>146</v>
      </c>
      <c r="Q39" s="60" t="s">
        <v>826</v>
      </c>
      <c r="R39" s="61" t="str">
        <f>VLOOKUP(Sheet_1_Table_1_13[[#This Row],[Learning Domain]],[1]List!$A$7:$B$12,2,0)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244</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1025</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1036</v>
      </c>
      <c r="BS39" s="54"/>
      <c r="BT39" s="56"/>
      <c r="BU39" s="56"/>
      <c r="BV39" s="57"/>
      <c r="BW39" s="60">
        <v>0</v>
      </c>
      <c r="BX39" s="71">
        <v>0</v>
      </c>
      <c r="BY39" s="56"/>
      <c r="BZ39" s="56"/>
      <c r="CA39" s="56" t="s">
        <v>831</v>
      </c>
      <c r="CB39" s="72"/>
      <c r="CC39" s="72"/>
      <c r="CD39" s="72"/>
      <c r="CE39" s="56" t="s">
        <v>832</v>
      </c>
      <c r="CF39" s="57" t="s">
        <v>833</v>
      </c>
      <c r="CG39" s="60" t="s">
        <v>834</v>
      </c>
      <c r="CH39" s="71" t="s">
        <v>835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1037</v>
      </c>
      <c r="H40" s="136"/>
      <c r="I40" s="137"/>
      <c r="J40" s="138" t="s">
        <v>1038</v>
      </c>
      <c r="K40" s="139" t="s">
        <v>1039</v>
      </c>
      <c r="L40" s="69"/>
      <c r="M40" s="139" t="s">
        <v>1040</v>
      </c>
      <c r="N40" s="140" t="s">
        <v>1041</v>
      </c>
      <c r="O40" s="162" t="s">
        <v>142</v>
      </c>
      <c r="P40" s="163" t="s">
        <v>142</v>
      </c>
      <c r="Q40" s="141" t="s">
        <v>826</v>
      </c>
      <c r="R40" s="61" t="s">
        <v>827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1042</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269</v>
      </c>
      <c r="BS40" s="141"/>
      <c r="BT40" s="69"/>
      <c r="BU40" s="69"/>
      <c r="BV40" s="137"/>
      <c r="BW40" s="141"/>
      <c r="BX40" s="151"/>
      <c r="BY40" s="69"/>
      <c r="BZ40" s="69"/>
      <c r="CA40" s="69"/>
      <c r="CB40" s="152"/>
      <c r="CC40" s="152"/>
      <c r="CD40" s="152"/>
      <c r="CE40" s="60" t="s">
        <v>834</v>
      </c>
      <c r="CF40" s="71" t="s">
        <v>835</v>
      </c>
      <c r="CG40" s="141" t="s">
        <v>1043</v>
      </c>
      <c r="CH40" s="153" t="s">
        <v>1044</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9">
        <v>202609</v>
      </c>
      <c r="C41" s="587" t="s">
        <v>1045</v>
      </c>
      <c r="D41" s="587" t="s">
        <v>133</v>
      </c>
      <c r="E41" s="591">
        <v>5924</v>
      </c>
      <c r="F41" s="586" t="s">
        <v>134</v>
      </c>
      <c r="G41" s="605" t="s">
        <v>632</v>
      </c>
      <c r="H41" s="614" t="s">
        <v>633</v>
      </c>
      <c r="I41" s="615" t="s">
        <v>634</v>
      </c>
      <c r="J41" s="616" t="s">
        <v>1046</v>
      </c>
      <c r="K41" s="617" t="s">
        <v>1047</v>
      </c>
      <c r="L41" s="572"/>
      <c r="M41" s="570" t="s">
        <v>1048</v>
      </c>
      <c r="N41" s="308" t="s">
        <v>1049</v>
      </c>
      <c r="O41" s="571" t="s">
        <v>142</v>
      </c>
      <c r="P41" s="585" t="s">
        <v>142</v>
      </c>
      <c r="Q41" s="568" t="s">
        <v>826</v>
      </c>
      <c r="R41" s="618" t="s">
        <v>827</v>
      </c>
      <c r="S41" s="572">
        <v>0</v>
      </c>
      <c r="T41" s="572">
        <v>0</v>
      </c>
      <c r="U41" s="572">
        <v>100</v>
      </c>
      <c r="V41" s="572">
        <v>0</v>
      </c>
      <c r="W41" s="572">
        <v>0</v>
      </c>
      <c r="X41" s="572">
        <v>0</v>
      </c>
      <c r="Y41" s="572">
        <v>0</v>
      </c>
      <c r="Z41" s="572">
        <v>0</v>
      </c>
      <c r="AA41" s="572">
        <v>0</v>
      </c>
      <c r="AB41" s="619">
        <v>100</v>
      </c>
      <c r="AC41" s="305" t="s">
        <v>654</v>
      </c>
      <c r="AD41" s="572" t="s">
        <v>190</v>
      </c>
      <c r="AE41" s="572" t="s">
        <v>142</v>
      </c>
      <c r="AF41" s="572" t="s">
        <v>146</v>
      </c>
      <c r="AG41" s="572" t="s">
        <v>142</v>
      </c>
      <c r="AH41" s="572">
        <v>2</v>
      </c>
      <c r="AI41" s="572">
        <v>10</v>
      </c>
      <c r="AJ41" s="620">
        <v>20</v>
      </c>
      <c r="AK41" s="793">
        <v>46288</v>
      </c>
      <c r="AL41" s="596">
        <f>WEEKDAY(Sheet_1_Table_1_13[[#This Row],[Lesson 1 
Date 
(DD-MMM-YYYY)]])</f>
        <v>4</v>
      </c>
      <c r="AM41" s="772">
        <v>0.625</v>
      </c>
      <c r="AN41" s="621">
        <v>0.66666666666666663</v>
      </c>
      <c r="AO41" s="622" t="s">
        <v>1050</v>
      </c>
      <c r="AP41" s="595">
        <v>46295</v>
      </c>
      <c r="AQ41" s="596">
        <f>WEEKDAY(Sheet_1_Table_1_13[[#This Row],[Lesson 2
Date 
(DD-MMM-YYYY)]])</f>
        <v>4</v>
      </c>
      <c r="AR41" s="575">
        <v>0.625</v>
      </c>
      <c r="AS41" s="593">
        <v>0.66666666666666663</v>
      </c>
      <c r="AT41" s="594" t="s">
        <v>1050</v>
      </c>
      <c r="AU41" s="592"/>
      <c r="AV41" s="596">
        <v>7</v>
      </c>
      <c r="AW41" s="575"/>
      <c r="AX41" s="593"/>
      <c r="AY41" s="594"/>
      <c r="AZ41" s="597"/>
      <c r="BA41" s="596">
        <v>7</v>
      </c>
      <c r="BB41" s="575"/>
      <c r="BC41" s="593"/>
      <c r="BD41" s="594"/>
      <c r="BE41" s="623"/>
      <c r="BF41" s="596">
        <v>7</v>
      </c>
      <c r="BG41" s="624"/>
      <c r="BH41" s="593"/>
      <c r="BI41" s="594"/>
      <c r="BJ41" s="597"/>
      <c r="BK41" s="596">
        <v>7</v>
      </c>
      <c r="BL41" s="575"/>
      <c r="BM41" s="593"/>
      <c r="BN41" s="598"/>
      <c r="BO41" s="586" t="s">
        <v>291</v>
      </c>
      <c r="BP41" s="569" t="s">
        <v>1051</v>
      </c>
      <c r="BQ41" s="572" t="s">
        <v>1052</v>
      </c>
      <c r="BR41" s="308"/>
      <c r="BS41" s="586"/>
      <c r="BT41" s="570"/>
      <c r="BU41" s="570"/>
      <c r="BV41" s="308"/>
      <c r="BW41" s="568"/>
      <c r="BX41" s="625"/>
      <c r="BY41" s="570" t="s">
        <v>149</v>
      </c>
      <c r="BZ41" s="570"/>
      <c r="CA41" s="570" t="s">
        <v>149</v>
      </c>
      <c r="CB41" s="600"/>
      <c r="CC41" s="600"/>
      <c r="CD41" s="600"/>
      <c r="CE41" s="568" t="s">
        <v>657</v>
      </c>
      <c r="CF41" s="582" t="s">
        <v>658</v>
      </c>
      <c r="CG41" s="570" t="s">
        <v>643</v>
      </c>
      <c r="CH41" s="626" t="s">
        <v>644</v>
      </c>
      <c r="CI41" s="572" t="s">
        <v>142</v>
      </c>
      <c r="CJ41" s="572" t="s">
        <v>142</v>
      </c>
      <c r="CK41" s="572" t="s">
        <v>142</v>
      </c>
      <c r="CL41" s="572" t="s">
        <v>146</v>
      </c>
      <c r="CM41" s="572" t="s">
        <v>146</v>
      </c>
      <c r="CN41" s="572" t="s">
        <v>142</v>
      </c>
      <c r="CO41" s="572" t="s">
        <v>142</v>
      </c>
      <c r="CP41" s="572" t="s">
        <v>142</v>
      </c>
      <c r="CQ41" s="572" t="s">
        <v>142</v>
      </c>
      <c r="CR41" s="572" t="s">
        <v>142</v>
      </c>
      <c r="CS41" s="572" t="s">
        <v>142</v>
      </c>
      <c r="CT41" s="572" t="s">
        <v>142</v>
      </c>
      <c r="CU41" s="572" t="s">
        <v>142</v>
      </c>
      <c r="CV41" s="572" t="s">
        <v>142</v>
      </c>
      <c r="CW41" s="572" t="s">
        <v>142</v>
      </c>
      <c r="CX41" s="572" t="s">
        <v>142</v>
      </c>
      <c r="CY41" s="572" t="s">
        <v>142</v>
      </c>
      <c r="CZ41" s="585" t="s">
        <v>142</v>
      </c>
      <c r="DA41" s="586" t="s">
        <v>154</v>
      </c>
      <c r="DB41" s="587" t="s">
        <v>155</v>
      </c>
      <c r="DC41" s="587" t="s">
        <v>156</v>
      </c>
      <c r="DD41" s="587" t="s">
        <v>146</v>
      </c>
      <c r="DE41" s="587" t="s">
        <v>157</v>
      </c>
      <c r="DF41" s="587" t="s">
        <v>146</v>
      </c>
      <c r="DG41" s="588" t="s">
        <v>142</v>
      </c>
      <c r="DH41" s="588" t="s">
        <v>142</v>
      </c>
      <c r="DI41" s="588" t="s">
        <v>142</v>
      </c>
      <c r="DJ41" s="588" t="s">
        <v>142</v>
      </c>
      <c r="DK41" s="627" t="s">
        <v>146</v>
      </c>
      <c r="DL41" s="627" t="s">
        <v>146</v>
      </c>
      <c r="DM41" s="627" t="s">
        <v>146</v>
      </c>
    </row>
    <row r="42" spans="1:156" ht="165">
      <c r="A42" s="8">
        <v>40</v>
      </c>
      <c r="B42" s="589">
        <v>202609</v>
      </c>
      <c r="C42" s="587" t="s">
        <v>1053</v>
      </c>
      <c r="D42" s="587" t="s">
        <v>133</v>
      </c>
      <c r="E42" s="591">
        <v>5926</v>
      </c>
      <c r="F42" s="586" t="s">
        <v>134</v>
      </c>
      <c r="G42" s="605" t="s">
        <v>632</v>
      </c>
      <c r="H42" s="614" t="s">
        <v>633</v>
      </c>
      <c r="I42" s="615" t="s">
        <v>634</v>
      </c>
      <c r="J42" s="616" t="s">
        <v>1054</v>
      </c>
      <c r="K42" s="617" t="s">
        <v>1055</v>
      </c>
      <c r="L42" s="572"/>
      <c r="M42" s="570" t="s">
        <v>1056</v>
      </c>
      <c r="N42" s="308" t="s">
        <v>1057</v>
      </c>
      <c r="O42" s="571" t="s">
        <v>142</v>
      </c>
      <c r="P42" s="585" t="s">
        <v>142</v>
      </c>
      <c r="Q42" s="568" t="s">
        <v>826</v>
      </c>
      <c r="R42" s="618" t="s">
        <v>827</v>
      </c>
      <c r="S42" s="572">
        <v>0</v>
      </c>
      <c r="T42" s="572">
        <v>0</v>
      </c>
      <c r="U42" s="572">
        <v>100</v>
      </c>
      <c r="V42" s="572">
        <v>0</v>
      </c>
      <c r="W42" s="572">
        <v>0</v>
      </c>
      <c r="X42" s="572">
        <v>0</v>
      </c>
      <c r="Y42" s="572">
        <v>0</v>
      </c>
      <c r="Z42" s="572">
        <v>0</v>
      </c>
      <c r="AA42" s="572">
        <v>0</v>
      </c>
      <c r="AB42" s="619">
        <v>100</v>
      </c>
      <c r="AC42" s="305" t="s">
        <v>199</v>
      </c>
      <c r="AD42" s="572" t="s">
        <v>190</v>
      </c>
      <c r="AE42" s="572" t="s">
        <v>142</v>
      </c>
      <c r="AF42" s="572" t="s">
        <v>146</v>
      </c>
      <c r="AG42" s="572" t="s">
        <v>142</v>
      </c>
      <c r="AH42" s="572">
        <v>2</v>
      </c>
      <c r="AI42" s="572">
        <v>20</v>
      </c>
      <c r="AJ42" s="620">
        <v>40</v>
      </c>
      <c r="AK42" s="794">
        <v>46295</v>
      </c>
      <c r="AL42" s="596">
        <f>WEEKDAY(Sheet_1_Table_1_13[[#This Row],[Lesson 1 
Date 
(DD-MMM-YYYY)]])</f>
        <v>4</v>
      </c>
      <c r="AM42" s="772">
        <v>0.41666666666666669</v>
      </c>
      <c r="AN42" s="621">
        <v>0.5</v>
      </c>
      <c r="AO42" s="622" t="s">
        <v>1050</v>
      </c>
      <c r="AP42" s="595"/>
      <c r="AQ42" s="596">
        <v>7</v>
      </c>
      <c r="AR42" s="575"/>
      <c r="AS42" s="593"/>
      <c r="AT42" s="594"/>
      <c r="AU42" s="592"/>
      <c r="AV42" s="596">
        <v>7</v>
      </c>
      <c r="AW42" s="575"/>
      <c r="AX42" s="593"/>
      <c r="AY42" s="594"/>
      <c r="AZ42" s="597"/>
      <c r="BA42" s="596">
        <v>7</v>
      </c>
      <c r="BB42" s="575"/>
      <c r="BC42" s="593"/>
      <c r="BD42" s="594"/>
      <c r="BE42" s="623"/>
      <c r="BF42" s="596">
        <v>7</v>
      </c>
      <c r="BG42" s="624"/>
      <c r="BH42" s="593"/>
      <c r="BI42" s="594"/>
      <c r="BJ42" s="597"/>
      <c r="BK42" s="596">
        <v>7</v>
      </c>
      <c r="BL42" s="575"/>
      <c r="BM42" s="593"/>
      <c r="BN42" s="598"/>
      <c r="BO42" s="586"/>
      <c r="BP42" s="569"/>
      <c r="BQ42" s="572"/>
      <c r="BR42" s="308" t="s">
        <v>1058</v>
      </c>
      <c r="BS42" s="586"/>
      <c r="BT42" s="570"/>
      <c r="BU42" s="570"/>
      <c r="BV42" s="308"/>
      <c r="BW42" s="568"/>
      <c r="BX42" s="625"/>
      <c r="BY42" s="570"/>
      <c r="BZ42" s="570"/>
      <c r="CA42" s="570"/>
      <c r="CB42" s="600"/>
      <c r="CC42" s="600"/>
      <c r="CD42" s="600"/>
      <c r="CE42" s="568" t="s">
        <v>657</v>
      </c>
      <c r="CF42" s="582" t="s">
        <v>658</v>
      </c>
      <c r="CG42" s="570" t="s">
        <v>643</v>
      </c>
      <c r="CH42" s="626" t="s">
        <v>644</v>
      </c>
      <c r="CI42" s="572" t="s">
        <v>142</v>
      </c>
      <c r="CJ42" s="572" t="s">
        <v>142</v>
      </c>
      <c r="CK42" s="572" t="s">
        <v>142</v>
      </c>
      <c r="CL42" s="572" t="s">
        <v>146</v>
      </c>
      <c r="CM42" s="572" t="s">
        <v>146</v>
      </c>
      <c r="CN42" s="572" t="s">
        <v>142</v>
      </c>
      <c r="CO42" s="572" t="s">
        <v>142</v>
      </c>
      <c r="CP42" s="572" t="s">
        <v>142</v>
      </c>
      <c r="CQ42" s="572" t="s">
        <v>142</v>
      </c>
      <c r="CR42" s="572" t="s">
        <v>142</v>
      </c>
      <c r="CS42" s="572" t="s">
        <v>146</v>
      </c>
      <c r="CT42" s="572" t="s">
        <v>142</v>
      </c>
      <c r="CU42" s="572" t="s">
        <v>142</v>
      </c>
      <c r="CV42" s="572" t="s">
        <v>142</v>
      </c>
      <c r="CW42" s="572" t="s">
        <v>142</v>
      </c>
      <c r="CX42" s="572" t="s">
        <v>142</v>
      </c>
      <c r="CY42" s="572" t="s">
        <v>142</v>
      </c>
      <c r="CZ42" s="585" t="s">
        <v>142</v>
      </c>
      <c r="DA42" s="586" t="s">
        <v>154</v>
      </c>
      <c r="DB42" s="587" t="s">
        <v>155</v>
      </c>
      <c r="DC42" s="587" t="s">
        <v>156</v>
      </c>
      <c r="DD42" s="587" t="s">
        <v>146</v>
      </c>
      <c r="DE42" s="587" t="s">
        <v>157</v>
      </c>
      <c r="DF42" s="587" t="s">
        <v>146</v>
      </c>
      <c r="DG42" s="588" t="s">
        <v>142</v>
      </c>
      <c r="DH42" s="588" t="s">
        <v>146</v>
      </c>
      <c r="DI42" s="588" t="s">
        <v>142</v>
      </c>
      <c r="DJ42" s="588" t="s">
        <v>142</v>
      </c>
      <c r="DK42" s="627"/>
      <c r="DL42" s="627"/>
      <c r="DM42" s="627"/>
    </row>
    <row r="43" spans="1:156" ht="150">
      <c r="A43" s="8">
        <v>41</v>
      </c>
      <c r="B43" s="589">
        <v>202609</v>
      </c>
      <c r="C43" s="587" t="s">
        <v>1059</v>
      </c>
      <c r="D43" s="587" t="s">
        <v>133</v>
      </c>
      <c r="E43" s="591">
        <v>5931</v>
      </c>
      <c r="F43" s="586" t="s">
        <v>134</v>
      </c>
      <c r="G43" s="605" t="s">
        <v>632</v>
      </c>
      <c r="H43" s="614" t="s">
        <v>648</v>
      </c>
      <c r="I43" s="615" t="s">
        <v>649</v>
      </c>
      <c r="J43" s="616" t="s">
        <v>1060</v>
      </c>
      <c r="K43" s="617" t="s">
        <v>1061</v>
      </c>
      <c r="L43" s="572"/>
      <c r="M43" s="570" t="s">
        <v>1062</v>
      </c>
      <c r="N43" s="308" t="s">
        <v>1063</v>
      </c>
      <c r="O43" s="571" t="s">
        <v>142</v>
      </c>
      <c r="P43" s="585" t="s">
        <v>142</v>
      </c>
      <c r="Q43" s="568" t="s">
        <v>826</v>
      </c>
      <c r="R43" s="618" t="s">
        <v>827</v>
      </c>
      <c r="S43" s="572">
        <v>0</v>
      </c>
      <c r="T43" s="572">
        <v>0</v>
      </c>
      <c r="U43" s="572">
        <v>100</v>
      </c>
      <c r="V43" s="572">
        <v>0</v>
      </c>
      <c r="W43" s="572">
        <v>0</v>
      </c>
      <c r="X43" s="572">
        <v>0</v>
      </c>
      <c r="Y43" s="572">
        <v>0</v>
      </c>
      <c r="Z43" s="572">
        <v>0</v>
      </c>
      <c r="AA43" s="572">
        <v>0</v>
      </c>
      <c r="AB43" s="619">
        <v>100</v>
      </c>
      <c r="AC43" s="305" t="s">
        <v>199</v>
      </c>
      <c r="AD43" s="572" t="s">
        <v>190</v>
      </c>
      <c r="AE43" s="572" t="s">
        <v>142</v>
      </c>
      <c r="AF43" s="572" t="s">
        <v>146</v>
      </c>
      <c r="AG43" s="572" t="s">
        <v>142</v>
      </c>
      <c r="AH43" s="572">
        <v>2</v>
      </c>
      <c r="AI43" s="572">
        <v>12</v>
      </c>
      <c r="AJ43" s="620">
        <v>24</v>
      </c>
      <c r="AK43" s="793">
        <v>46308</v>
      </c>
      <c r="AL43" s="596">
        <f>WEEKDAY(Sheet_1_Table_1_13[[#This Row],[Lesson 1 
Date 
(DD-MMM-YYYY)]])</f>
        <v>3</v>
      </c>
      <c r="AM43" s="772">
        <v>0.60416666666666663</v>
      </c>
      <c r="AN43" s="621">
        <v>0.6875</v>
      </c>
      <c r="AO43" s="622" t="s">
        <v>1050</v>
      </c>
      <c r="AP43" s="595"/>
      <c r="AQ43" s="596">
        <v>7</v>
      </c>
      <c r="AR43" s="575"/>
      <c r="AS43" s="593"/>
      <c r="AT43" s="594"/>
      <c r="AU43" s="592"/>
      <c r="AV43" s="596">
        <v>7</v>
      </c>
      <c r="AW43" s="575"/>
      <c r="AX43" s="593"/>
      <c r="AY43" s="594"/>
      <c r="AZ43" s="597"/>
      <c r="BA43" s="596">
        <v>7</v>
      </c>
      <c r="BB43" s="575"/>
      <c r="BC43" s="593"/>
      <c r="BD43" s="594"/>
      <c r="BE43" s="623"/>
      <c r="BF43" s="596">
        <v>7</v>
      </c>
      <c r="BG43" s="624"/>
      <c r="BH43" s="593"/>
      <c r="BI43" s="594"/>
      <c r="BJ43" s="597"/>
      <c r="BK43" s="596">
        <v>7</v>
      </c>
      <c r="BL43" s="575"/>
      <c r="BM43" s="593"/>
      <c r="BN43" s="598"/>
      <c r="BO43" s="586"/>
      <c r="BP43" s="569"/>
      <c r="BQ43" s="572"/>
      <c r="BR43" s="308" t="s">
        <v>1064</v>
      </c>
      <c r="BS43" s="586"/>
      <c r="BT43" s="570"/>
      <c r="BU43" s="570"/>
      <c r="BV43" s="308"/>
      <c r="BW43" s="568"/>
      <c r="BX43" s="625"/>
      <c r="BY43" s="570"/>
      <c r="BZ43" s="570"/>
      <c r="CA43" s="570"/>
      <c r="CB43" s="600"/>
      <c r="CC43" s="600"/>
      <c r="CD43" s="600"/>
      <c r="CE43" s="568" t="s">
        <v>643</v>
      </c>
      <c r="CF43" s="582" t="s">
        <v>644</v>
      </c>
      <c r="CG43" s="570" t="s">
        <v>645</v>
      </c>
      <c r="CH43" s="626" t="s">
        <v>646</v>
      </c>
      <c r="CI43" s="572" t="s">
        <v>142</v>
      </c>
      <c r="CJ43" s="572" t="s">
        <v>142</v>
      </c>
      <c r="CK43" s="572" t="s">
        <v>142</v>
      </c>
      <c r="CL43" s="572" t="s">
        <v>146</v>
      </c>
      <c r="CM43" s="572" t="s">
        <v>142</v>
      </c>
      <c r="CN43" s="572" t="s">
        <v>142</v>
      </c>
      <c r="CO43" s="572" t="s">
        <v>142</v>
      </c>
      <c r="CP43" s="572" t="s">
        <v>142</v>
      </c>
      <c r="CQ43" s="572" t="s">
        <v>142</v>
      </c>
      <c r="CR43" s="572" t="s">
        <v>142</v>
      </c>
      <c r="CS43" s="572" t="s">
        <v>142</v>
      </c>
      <c r="CT43" s="572" t="s">
        <v>142</v>
      </c>
      <c r="CU43" s="572" t="s">
        <v>142</v>
      </c>
      <c r="CV43" s="572" t="s">
        <v>142</v>
      </c>
      <c r="CW43" s="572" t="s">
        <v>142</v>
      </c>
      <c r="CX43" s="572" t="s">
        <v>142</v>
      </c>
      <c r="CY43" s="572" t="s">
        <v>142</v>
      </c>
      <c r="CZ43" s="585" t="s">
        <v>142</v>
      </c>
      <c r="DA43" s="586" t="s">
        <v>154</v>
      </c>
      <c r="DB43" s="587" t="s">
        <v>155</v>
      </c>
      <c r="DC43" s="587" t="s">
        <v>156</v>
      </c>
      <c r="DD43" s="587" t="s">
        <v>146</v>
      </c>
      <c r="DE43" s="587" t="s">
        <v>157</v>
      </c>
      <c r="DF43" s="587" t="s">
        <v>146</v>
      </c>
      <c r="DG43" s="588" t="s">
        <v>142</v>
      </c>
      <c r="DH43" s="588" t="s">
        <v>142</v>
      </c>
      <c r="DI43" s="588" t="s">
        <v>142</v>
      </c>
      <c r="DJ43" s="588" t="s">
        <v>142</v>
      </c>
      <c r="DK43" s="628" t="s">
        <v>146</v>
      </c>
      <c r="DL43" s="628" t="s">
        <v>146</v>
      </c>
      <c r="DM43" s="628" t="s">
        <v>146</v>
      </c>
    </row>
    <row r="44" spans="1:156" ht="150">
      <c r="A44" s="8">
        <v>42</v>
      </c>
      <c r="B44" s="589">
        <v>202609</v>
      </c>
      <c r="C44" s="587" t="s">
        <v>1065</v>
      </c>
      <c r="D44" s="587" t="s">
        <v>133</v>
      </c>
      <c r="E44" s="591">
        <v>5935</v>
      </c>
      <c r="F44" s="586" t="s">
        <v>134</v>
      </c>
      <c r="G44" s="605" t="s">
        <v>632</v>
      </c>
      <c r="H44" s="614" t="s">
        <v>648</v>
      </c>
      <c r="I44" s="615" t="s">
        <v>649</v>
      </c>
      <c r="J44" s="616" t="s">
        <v>1066</v>
      </c>
      <c r="K44" s="617" t="s">
        <v>1067</v>
      </c>
      <c r="L44" s="572"/>
      <c r="M44" s="570" t="s">
        <v>1068</v>
      </c>
      <c r="N44" s="308" t="s">
        <v>1069</v>
      </c>
      <c r="O44" s="571" t="s">
        <v>142</v>
      </c>
      <c r="P44" s="585" t="s">
        <v>142</v>
      </c>
      <c r="Q44" s="568" t="s">
        <v>826</v>
      </c>
      <c r="R44" s="618" t="s">
        <v>827</v>
      </c>
      <c r="S44" s="572">
        <v>0</v>
      </c>
      <c r="T44" s="572">
        <v>0</v>
      </c>
      <c r="U44" s="572">
        <v>100</v>
      </c>
      <c r="V44" s="572"/>
      <c r="W44" s="572">
        <v>0</v>
      </c>
      <c r="X44" s="572">
        <v>0</v>
      </c>
      <c r="Y44" s="572">
        <v>0</v>
      </c>
      <c r="Z44" s="572">
        <v>0</v>
      </c>
      <c r="AA44" s="572">
        <v>0</v>
      </c>
      <c r="AB44" s="619">
        <v>100</v>
      </c>
      <c r="AC44" s="305" t="s">
        <v>199</v>
      </c>
      <c r="AD44" s="572" t="s">
        <v>190</v>
      </c>
      <c r="AE44" s="572" t="s">
        <v>142</v>
      </c>
      <c r="AF44" s="572" t="s">
        <v>146</v>
      </c>
      <c r="AG44" s="572" t="s">
        <v>142</v>
      </c>
      <c r="AH44" s="572">
        <v>1.5</v>
      </c>
      <c r="AI44" s="572">
        <v>20</v>
      </c>
      <c r="AJ44" s="620">
        <v>30</v>
      </c>
      <c r="AK44" s="793">
        <v>46329</v>
      </c>
      <c r="AL44" s="596">
        <f>WEEKDAY(Sheet_1_Table_1_13[[#This Row],[Lesson 1 
Date 
(DD-MMM-YYYY)]])</f>
        <v>3</v>
      </c>
      <c r="AM44" s="772">
        <v>0.625</v>
      </c>
      <c r="AN44" s="621">
        <v>0.6875</v>
      </c>
      <c r="AO44" s="622" t="s">
        <v>1050</v>
      </c>
      <c r="AP44" s="595"/>
      <c r="AQ44" s="596">
        <v>7</v>
      </c>
      <c r="AR44" s="575"/>
      <c r="AS44" s="593"/>
      <c r="AT44" s="594"/>
      <c r="AU44" s="592"/>
      <c r="AV44" s="596">
        <v>7</v>
      </c>
      <c r="AW44" s="575"/>
      <c r="AX44" s="593"/>
      <c r="AY44" s="594"/>
      <c r="AZ44" s="597"/>
      <c r="BA44" s="596">
        <v>7</v>
      </c>
      <c r="BB44" s="575"/>
      <c r="BC44" s="593"/>
      <c r="BD44" s="594"/>
      <c r="BE44" s="623"/>
      <c r="BF44" s="596">
        <v>7</v>
      </c>
      <c r="BG44" s="624"/>
      <c r="BH44" s="593"/>
      <c r="BI44" s="594"/>
      <c r="BJ44" s="597"/>
      <c r="BK44" s="596">
        <v>7</v>
      </c>
      <c r="BL44" s="575"/>
      <c r="BM44" s="593"/>
      <c r="BN44" s="598"/>
      <c r="BO44" s="586" t="s">
        <v>291</v>
      </c>
      <c r="BP44" s="569" t="s">
        <v>1070</v>
      </c>
      <c r="BQ44" s="572" t="s">
        <v>860</v>
      </c>
      <c r="BR44" s="308" t="s">
        <v>1071</v>
      </c>
      <c r="BS44" s="586"/>
      <c r="BT44" s="570"/>
      <c r="BU44" s="570"/>
      <c r="BV44" s="308"/>
      <c r="BW44" s="568"/>
      <c r="BX44" s="625"/>
      <c r="BY44" s="570" t="s">
        <v>149</v>
      </c>
      <c r="BZ44" s="570"/>
      <c r="CA44" s="570" t="s">
        <v>149</v>
      </c>
      <c r="CB44" s="600"/>
      <c r="CC44" s="600"/>
      <c r="CD44" s="600"/>
      <c r="CE44" s="568" t="s">
        <v>657</v>
      </c>
      <c r="CF44" s="582" t="s">
        <v>658</v>
      </c>
      <c r="CG44" s="570" t="s">
        <v>643</v>
      </c>
      <c r="CH44" s="626" t="s">
        <v>644</v>
      </c>
      <c r="CI44" s="572" t="s">
        <v>142</v>
      </c>
      <c r="CJ44" s="572" t="s">
        <v>142</v>
      </c>
      <c r="CK44" s="572" t="s">
        <v>142</v>
      </c>
      <c r="CL44" s="572" t="s">
        <v>146</v>
      </c>
      <c r="CM44" s="572" t="s">
        <v>146</v>
      </c>
      <c r="CN44" s="572" t="s">
        <v>142</v>
      </c>
      <c r="CO44" s="572" t="s">
        <v>142</v>
      </c>
      <c r="CP44" s="572" t="s">
        <v>142</v>
      </c>
      <c r="CQ44" s="572" t="s">
        <v>142</v>
      </c>
      <c r="CR44" s="572" t="s">
        <v>142</v>
      </c>
      <c r="CS44" s="572" t="s">
        <v>146</v>
      </c>
      <c r="CT44" s="572" t="s">
        <v>142</v>
      </c>
      <c r="CU44" s="572" t="s">
        <v>142</v>
      </c>
      <c r="CV44" s="572" t="s">
        <v>142</v>
      </c>
      <c r="CW44" s="572" t="s">
        <v>142</v>
      </c>
      <c r="CX44" s="572" t="s">
        <v>142</v>
      </c>
      <c r="CY44" s="572" t="s">
        <v>142</v>
      </c>
      <c r="CZ44" s="585" t="s">
        <v>142</v>
      </c>
      <c r="DA44" s="586" t="s">
        <v>154</v>
      </c>
      <c r="DB44" s="587" t="s">
        <v>155</v>
      </c>
      <c r="DC44" s="587" t="s">
        <v>156</v>
      </c>
      <c r="DD44" s="587" t="s">
        <v>146</v>
      </c>
      <c r="DE44" s="587" t="s">
        <v>157</v>
      </c>
      <c r="DF44" s="587" t="s">
        <v>146</v>
      </c>
      <c r="DG44" s="588" t="s">
        <v>142</v>
      </c>
      <c r="DH44" s="588" t="s">
        <v>142</v>
      </c>
      <c r="DI44" s="588" t="s">
        <v>142</v>
      </c>
      <c r="DJ44" s="588" t="s">
        <v>142</v>
      </c>
      <c r="DK44" s="628" t="s">
        <v>146</v>
      </c>
      <c r="DL44" s="628" t="s">
        <v>146</v>
      </c>
      <c r="DM44" s="628" t="s">
        <v>146</v>
      </c>
    </row>
    <row r="45" spans="1:156" ht="195">
      <c r="A45" s="8">
        <v>43</v>
      </c>
      <c r="B45" s="49">
        <v>202609</v>
      </c>
      <c r="C45" s="50" t="s">
        <v>1072</v>
      </c>
      <c r="D45" s="50" t="s">
        <v>174</v>
      </c>
      <c r="E45" s="51">
        <v>5792</v>
      </c>
      <c r="F45" s="54" t="s">
        <v>692</v>
      </c>
      <c r="G45" s="53"/>
      <c r="H45" s="95"/>
      <c r="I45" s="81"/>
      <c r="J45" s="54" t="s">
        <v>1073</v>
      </c>
      <c r="K45" s="55" t="s">
        <v>1074</v>
      </c>
      <c r="L45" s="55"/>
      <c r="M45" s="56" t="s">
        <v>1075</v>
      </c>
      <c r="N45" s="57" t="s">
        <v>1076</v>
      </c>
      <c r="O45" s="114" t="s">
        <v>146</v>
      </c>
      <c r="P45" s="96" t="s">
        <v>146</v>
      </c>
      <c r="Q45" s="60" t="s">
        <v>826</v>
      </c>
      <c r="R45" s="618" t="s">
        <v>827</v>
      </c>
      <c r="S45" s="55">
        <v>0</v>
      </c>
      <c r="T45" s="55">
        <v>0</v>
      </c>
      <c r="U45" s="55">
        <v>60</v>
      </c>
      <c r="V45" s="55">
        <v>40</v>
      </c>
      <c r="W45" s="55">
        <v>0</v>
      </c>
      <c r="X45" s="55">
        <v>0</v>
      </c>
      <c r="Y45" s="55">
        <v>0</v>
      </c>
      <c r="Z45" s="55">
        <v>0</v>
      </c>
      <c r="AA45" s="55">
        <v>0</v>
      </c>
      <c r="AB45" s="619">
        <v>100</v>
      </c>
      <c r="AC45" s="97" t="s">
        <v>199</v>
      </c>
      <c r="AD45" s="55" t="s">
        <v>190</v>
      </c>
      <c r="AE45" s="55" t="s">
        <v>146</v>
      </c>
      <c r="AF45" s="55" t="s">
        <v>146</v>
      </c>
      <c r="AG45" s="55" t="s">
        <v>142</v>
      </c>
      <c r="AH45" s="55">
        <v>2</v>
      </c>
      <c r="AI45" s="55">
        <v>20</v>
      </c>
      <c r="AJ45" s="62">
        <f>SUM(Sheet_1_Table_1_13[[#This Row],[ILP Units Per Session]]*Sheet_1_Table_1_13[[#This Row],[Quota]])</f>
        <v>40</v>
      </c>
      <c r="AK45" s="793">
        <v>46304</v>
      </c>
      <c r="AL45" s="64" t="e">
        <f>WEEKDAY([2]!Sheet_1_Table_1_13[[#This Row],[Lesson 1 
Date 
(DD-MMM-YYYY)]])</f>
        <v>#REF!</v>
      </c>
      <c r="AM45" s="562">
        <v>0.66666666666666663</v>
      </c>
      <c r="AN45" s="563">
        <v>0.75</v>
      </c>
      <c r="AO45" s="717" t="s">
        <v>1077</v>
      </c>
      <c r="AP45" s="565"/>
      <c r="AQ45" s="64" t="e">
        <f>WEEKDAY([2]!Sheet_1_Table_1_13[[#This Row],[Lesson 2
Date 
(DD-MMM-YYYY)]])</f>
        <v>#REF!</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116"/>
      <c r="BF45" s="64" t="e">
        <f>WEEKDAY([2]!Sheet_1_Table_1_13[[#This Row],[Lesson 5
Date 
(DD-MMM-YYYY)]])</f>
        <v>#REF!</v>
      </c>
      <c r="BG45" s="117"/>
      <c r="BH45" s="66"/>
      <c r="BI45" s="126"/>
      <c r="BJ45" s="98"/>
      <c r="BK45" s="64" t="e">
        <f>WEEKDAY([2]!Sheet_1_Table_1_13[[#This Row],[Lesson 6
Date 
(DD-MMM-YYYY)]])</f>
        <v>#REF!</v>
      </c>
      <c r="BL45" s="65"/>
      <c r="BM45" s="66"/>
      <c r="BN45" s="99"/>
      <c r="BO45" s="54" t="s">
        <v>291</v>
      </c>
      <c r="BP45" s="69" t="s">
        <v>1078</v>
      </c>
      <c r="BQ45" s="55" t="s">
        <v>409</v>
      </c>
      <c r="BR45" s="57" t="s">
        <v>987</v>
      </c>
      <c r="BS45" s="54"/>
      <c r="BT45" s="56"/>
      <c r="BU45" s="56"/>
      <c r="BV45" s="57"/>
      <c r="BW45" s="60">
        <v>0</v>
      </c>
      <c r="BX45" s="195"/>
      <c r="BY45" s="56" t="s">
        <v>1079</v>
      </c>
      <c r="BZ45" s="56"/>
      <c r="CA45" s="56" t="s">
        <v>2225</v>
      </c>
      <c r="CB45" s="72"/>
      <c r="CC45" s="72"/>
      <c r="CD45" s="72"/>
      <c r="CE45" s="60" t="s">
        <v>699</v>
      </c>
      <c r="CF45" s="517" t="s">
        <v>700</v>
      </c>
      <c r="CG45" s="56" t="s">
        <v>701</v>
      </c>
      <c r="CH45" s="613" t="s">
        <v>702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8"/>
      <c r="DL45" s="718"/>
      <c r="DM45" s="719"/>
    </row>
    <row r="46" spans="1:156" ht="195">
      <c r="A46" s="8">
        <v>44</v>
      </c>
      <c r="B46" s="589">
        <v>202609</v>
      </c>
      <c r="C46" s="587" t="s">
        <v>1072</v>
      </c>
      <c r="D46" s="587" t="s">
        <v>174</v>
      </c>
      <c r="E46" s="591">
        <v>5793</v>
      </c>
      <c r="F46" s="586" t="s">
        <v>692</v>
      </c>
      <c r="G46" s="605"/>
      <c r="H46" s="307"/>
      <c r="I46" s="720"/>
      <c r="J46" s="586" t="s">
        <v>1073</v>
      </c>
      <c r="K46" s="572" t="s">
        <v>1080</v>
      </c>
      <c r="L46" s="572"/>
      <c r="M46" s="570" t="s">
        <v>1081</v>
      </c>
      <c r="N46" s="308" t="s">
        <v>1076</v>
      </c>
      <c r="O46" s="571" t="s">
        <v>146</v>
      </c>
      <c r="P46" s="585" t="s">
        <v>146</v>
      </c>
      <c r="Q46" s="568" t="s">
        <v>826</v>
      </c>
      <c r="R46" s="618" t="s">
        <v>827</v>
      </c>
      <c r="S46" s="572">
        <v>0</v>
      </c>
      <c r="T46" s="572">
        <v>0</v>
      </c>
      <c r="U46" s="572">
        <v>60</v>
      </c>
      <c r="V46" s="572">
        <v>40</v>
      </c>
      <c r="W46" s="572">
        <v>0</v>
      </c>
      <c r="X46" s="572">
        <v>0</v>
      </c>
      <c r="Y46" s="572">
        <v>0</v>
      </c>
      <c r="Z46" s="572">
        <v>0</v>
      </c>
      <c r="AA46" s="572">
        <v>0</v>
      </c>
      <c r="AB46" s="619">
        <v>100</v>
      </c>
      <c r="AC46" s="305" t="s">
        <v>199</v>
      </c>
      <c r="AD46" s="572" t="s">
        <v>190</v>
      </c>
      <c r="AE46" s="572" t="s">
        <v>146</v>
      </c>
      <c r="AF46" s="572" t="s">
        <v>146</v>
      </c>
      <c r="AG46" s="572" t="s">
        <v>142</v>
      </c>
      <c r="AH46" s="572">
        <v>2</v>
      </c>
      <c r="AI46" s="572">
        <v>20</v>
      </c>
      <c r="AJ46" s="62">
        <f>SUM(Sheet_1_Table_1_13[[#This Row],[ILP Units Per Session]]*Sheet_1_Table_1_13[[#This Row],[Quota]])</f>
        <v>40</v>
      </c>
      <c r="AK46" s="793">
        <v>46311</v>
      </c>
      <c r="AL46" s="596" t="e">
        <f>WEEKDAY([2]!Sheet_1_Table_1_13[[#This Row],[Lesson 1 
Date 
(DD-MMM-YYYY)]])</f>
        <v>#REF!</v>
      </c>
      <c r="AM46" s="772">
        <v>0.66666666666666663</v>
      </c>
      <c r="AN46" s="621">
        <v>0.75</v>
      </c>
      <c r="AO46" s="637" t="s">
        <v>1077</v>
      </c>
      <c r="AP46" s="595"/>
      <c r="AQ46" s="596" t="e">
        <f>WEEKDAY([2]!Sheet_1_Table_1_13[[#This Row],[Lesson 2
Date 
(DD-MMM-YYYY)]])</f>
        <v>#REF!</v>
      </c>
      <c r="AR46" s="575"/>
      <c r="AS46" s="593"/>
      <c r="AT46" s="594"/>
      <c r="AU46" s="592"/>
      <c r="AV46" s="596" t="e">
        <f>WEEKDAY([2]!Sheet_1_Table_1_13[[#This Row],[Lesson 3
Date 
(DD-MMM-YYYY)]])</f>
        <v>#REF!</v>
      </c>
      <c r="AW46" s="575"/>
      <c r="AX46" s="593"/>
      <c r="AY46" s="594"/>
      <c r="AZ46" s="597"/>
      <c r="BA46" s="596" t="e">
        <f>WEEKDAY([2]!Sheet_1_Table_1_13[[#This Row],[Lesson 4
Date 
(DD-MMM-YYYY)]])</f>
        <v>#REF!</v>
      </c>
      <c r="BB46" s="575"/>
      <c r="BC46" s="593"/>
      <c r="BD46" s="594"/>
      <c r="BE46" s="623"/>
      <c r="BF46" s="596" t="e">
        <f>WEEKDAY([2]!Sheet_1_Table_1_13[[#This Row],[Lesson 5
Date 
(DD-MMM-YYYY)]])</f>
        <v>#REF!</v>
      </c>
      <c r="BG46" s="624"/>
      <c r="BH46" s="593"/>
      <c r="BI46" s="594"/>
      <c r="BJ46" s="597"/>
      <c r="BK46" s="596" t="e">
        <f>WEEKDAY([2]!Sheet_1_Table_1_13[[#This Row],[Lesson 6
Date 
(DD-MMM-YYYY)]])</f>
        <v>#REF!</v>
      </c>
      <c r="BL46" s="575"/>
      <c r="BM46" s="593"/>
      <c r="BN46" s="598"/>
      <c r="BO46" s="586" t="s">
        <v>291</v>
      </c>
      <c r="BP46" s="569" t="s">
        <v>1078</v>
      </c>
      <c r="BQ46" s="572" t="s">
        <v>409</v>
      </c>
      <c r="BR46" s="308" t="s">
        <v>987</v>
      </c>
      <c r="BS46" s="586"/>
      <c r="BT46" s="570"/>
      <c r="BU46" s="570"/>
      <c r="BV46" s="308"/>
      <c r="BW46" s="568">
        <v>0</v>
      </c>
      <c r="BX46" s="625"/>
      <c r="BY46" s="570" t="s">
        <v>149</v>
      </c>
      <c r="BZ46" s="570"/>
      <c r="CA46" s="570" t="s">
        <v>2225</v>
      </c>
      <c r="CB46" s="600"/>
      <c r="CC46" s="600"/>
      <c r="CD46" s="600"/>
      <c r="CE46" s="568" t="s">
        <v>699</v>
      </c>
      <c r="CF46" s="582" t="s">
        <v>700</v>
      </c>
      <c r="CG46" s="570" t="s">
        <v>701</v>
      </c>
      <c r="CH46" s="626" t="s">
        <v>702</v>
      </c>
      <c r="CI46" s="572" t="s">
        <v>146</v>
      </c>
      <c r="CJ46" s="572" t="s">
        <v>142</v>
      </c>
      <c r="CK46" s="572" t="s">
        <v>142</v>
      </c>
      <c r="CL46" s="572" t="s">
        <v>146</v>
      </c>
      <c r="CM46" s="572" t="s">
        <v>142</v>
      </c>
      <c r="CN46" s="572" t="s">
        <v>142</v>
      </c>
      <c r="CO46" s="572" t="s">
        <v>142</v>
      </c>
      <c r="CP46" s="572" t="s">
        <v>142</v>
      </c>
      <c r="CQ46" s="572" t="s">
        <v>142</v>
      </c>
      <c r="CR46" s="572" t="s">
        <v>142</v>
      </c>
      <c r="CS46" s="572" t="s">
        <v>142</v>
      </c>
      <c r="CT46" s="572" t="s">
        <v>142</v>
      </c>
      <c r="CU46" s="572" t="s">
        <v>142</v>
      </c>
      <c r="CV46" s="572" t="s">
        <v>142</v>
      </c>
      <c r="CW46" s="572" t="s">
        <v>142</v>
      </c>
      <c r="CX46" s="572" t="s">
        <v>142</v>
      </c>
      <c r="CY46" s="572" t="s">
        <v>142</v>
      </c>
      <c r="CZ46" s="585" t="s">
        <v>142</v>
      </c>
      <c r="DA46" s="586" t="s">
        <v>154</v>
      </c>
      <c r="DB46" s="587" t="s">
        <v>155</v>
      </c>
      <c r="DC46" s="587" t="s">
        <v>156</v>
      </c>
      <c r="DD46" s="587" t="s">
        <v>146</v>
      </c>
      <c r="DE46" s="587" t="s">
        <v>157</v>
      </c>
      <c r="DF46" s="587" t="s">
        <v>146</v>
      </c>
      <c r="DG46" s="588"/>
      <c r="DH46" s="588"/>
      <c r="DI46" s="588"/>
      <c r="DJ46" s="588"/>
      <c r="DK46" s="718"/>
      <c r="DL46" s="718"/>
      <c r="DM46" s="719"/>
    </row>
  </sheetData>
  <autoFilter ref="K1:L1" xr:uid="{E534055C-3311-4385-BCE5-3AA9FAF57653}">
    <filterColumn colId="0" showButton="0"/>
  </autoFilter>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L41:L43">
    <cfRule type="cellIs" dxfId="84" priority="6" operator="greaterThan">
      <formula>0</formula>
    </cfRule>
  </conditionalFormatting>
  <conditionalFormatting sqref="S3:AA46 K45:K46">
    <cfRule type="cellIs" dxfId="83" priority="2" operator="greaterThan">
      <formula>0</formula>
    </cfRule>
  </conditionalFormatting>
  <conditionalFormatting sqref="AB3:AB46">
    <cfRule type="cellIs" dxfId="82" priority="3" operator="notEqual">
      <formula>100</formula>
    </cfRule>
    <cfRule type="cellIs" dxfId="81" priority="4" operator="equal">
      <formula>100</formula>
    </cfRule>
  </conditionalFormatting>
  <conditionalFormatting sqref="AE3:AG46 CI3:CZ46 DI3:DJ46">
    <cfRule type="containsText" dxfId="80"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zoomScale="70" zoomScaleNormal="70" workbookViewId="0">
      <pane ySplit="2" topLeftCell="A21" activePane="bottomLeft" state="frozen"/>
      <selection activeCell="A3" sqref="A3"/>
      <selection pane="bottomLeft" activeCell="BT18" sqref="BT1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10"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4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120">
      <c r="A3" s="48">
        <v>1</v>
      </c>
      <c r="B3" s="49">
        <v>202609</v>
      </c>
      <c r="C3" s="50" t="s">
        <v>1082</v>
      </c>
      <c r="D3" s="50" t="s">
        <v>174</v>
      </c>
      <c r="E3" s="51">
        <v>5833</v>
      </c>
      <c r="F3" s="52" t="s">
        <v>134</v>
      </c>
      <c r="G3" s="53" t="s">
        <v>632</v>
      </c>
      <c r="H3" s="685" t="s">
        <v>1083</v>
      </c>
      <c r="I3" s="686" t="s">
        <v>1084</v>
      </c>
      <c r="J3" s="141" t="s">
        <v>1085</v>
      </c>
      <c r="K3" s="55" t="s">
        <v>1086</v>
      </c>
      <c r="L3" s="55"/>
      <c r="M3" s="789" t="s">
        <v>2221</v>
      </c>
      <c r="N3" s="57" t="s">
        <v>1087</v>
      </c>
      <c r="O3" s="58" t="s">
        <v>146</v>
      </c>
      <c r="P3" s="59" t="s">
        <v>146</v>
      </c>
      <c r="Q3" s="60" t="s">
        <v>1088</v>
      </c>
      <c r="R3" s="61" t="str">
        <f>VLOOKUP(Sheet_1_Table_1_138[[#This Row],[Learning Domain]],[10]List!$A$7:$B$12,2,0)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353</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8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1089</v>
      </c>
      <c r="BQ3" s="55" t="s">
        <v>815</v>
      </c>
      <c r="BR3" s="53" t="s">
        <v>1090</v>
      </c>
      <c r="BS3" s="54"/>
      <c r="BT3" s="55"/>
      <c r="BU3" s="55"/>
      <c r="BV3" s="53"/>
      <c r="BW3" s="60"/>
      <c r="BX3" s="71"/>
      <c r="BY3" s="56" t="s">
        <v>149</v>
      </c>
      <c r="BZ3" s="56"/>
      <c r="CA3" s="56" t="s">
        <v>149</v>
      </c>
      <c r="CB3" s="72"/>
      <c r="CC3" s="72"/>
      <c r="CD3" s="71"/>
      <c r="CE3" s="60" t="s">
        <v>1091</v>
      </c>
      <c r="CF3" s="164" t="s">
        <v>1092</v>
      </c>
      <c r="CG3" s="60" t="s">
        <v>1093</v>
      </c>
      <c r="CH3" s="71" t="s">
        <v>1094</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43">
        <v>202609</v>
      </c>
      <c r="C4" s="205" t="s">
        <v>1095</v>
      </c>
      <c r="D4" s="205" t="s">
        <v>250</v>
      </c>
      <c r="E4" s="206">
        <v>5834</v>
      </c>
      <c r="F4" s="52" t="s">
        <v>134</v>
      </c>
      <c r="G4" s="53" t="s">
        <v>632</v>
      </c>
      <c r="H4" s="685" t="s">
        <v>1083</v>
      </c>
      <c r="I4" s="686" t="s">
        <v>1084</v>
      </c>
      <c r="J4" s="688" t="s">
        <v>1096</v>
      </c>
      <c r="K4" s="55" t="s">
        <v>1097</v>
      </c>
      <c r="L4" s="55"/>
      <c r="M4" s="56" t="s">
        <v>1098</v>
      </c>
      <c r="N4" s="219" t="s">
        <v>1099</v>
      </c>
      <c r="O4" s="58" t="s">
        <v>146</v>
      </c>
      <c r="P4" s="460" t="s">
        <v>146</v>
      </c>
      <c r="Q4" s="222" t="s">
        <v>1088</v>
      </c>
      <c r="R4" s="77" t="str">
        <f>VLOOKUP(Sheet_1_Table_1_138[[#This Row],[Learning Domain]],[10]List!$A$7:$B$12,2,0)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9" t="s">
        <v>190</v>
      </c>
      <c r="AE4" s="209" t="s">
        <v>142</v>
      </c>
      <c r="AF4" s="209" t="s">
        <v>146</v>
      </c>
      <c r="AG4" s="209" t="s">
        <v>142</v>
      </c>
      <c r="AH4" s="209">
        <v>3</v>
      </c>
      <c r="AI4" s="55">
        <v>20</v>
      </c>
      <c r="AJ4" s="210">
        <f>Sheet_1_Table_1_138[[#This Row],[ILP Units Per Session]]*Sheet_1_Table_1_138[[#This Row],[Quota]]</f>
        <v>60</v>
      </c>
      <c r="AK4" s="211">
        <v>46294</v>
      </c>
      <c r="AL4" s="165">
        <f>WEEKDAY(Sheet_1_Table_1_138[[#This Row],[Lesson 1 
Date 
(DD-MMM-YYYY)]])</f>
        <v>3</v>
      </c>
      <c r="AM4" s="212">
        <v>0.58333333333333337</v>
      </c>
      <c r="AN4" s="213">
        <v>0.70833333333333337</v>
      </c>
      <c r="AO4" s="689" t="s">
        <v>1100</v>
      </c>
      <c r="AP4" s="690"/>
      <c r="AQ4" s="64">
        <f>WEEKDAY(Sheet_1_Table_1_138[[#This Row],[Lesson 2
Date 
(DD-MMM-YYYY)]])</f>
        <v>7</v>
      </c>
      <c r="AR4" s="65"/>
      <c r="AS4" s="66"/>
      <c r="AT4" s="66"/>
      <c r="AU4" s="211"/>
      <c r="AV4" s="165">
        <f>WEEKDAY(Sheet_1_Table_1_138[[#This Row],[Lesson 3
Date 
(DD-MMM-YYYY)]])</f>
        <v>7</v>
      </c>
      <c r="AW4" s="212"/>
      <c r="AX4" s="213"/>
      <c r="AY4" s="215"/>
      <c r="AZ4" s="68"/>
      <c r="BA4" s="64">
        <f>WEEKDAY(Sheet_1_Table_1_138[[#This Row],[Lesson 4
Date 
(DD-MMM-YYYY)]])</f>
        <v>7</v>
      </c>
      <c r="BB4" s="65"/>
      <c r="BC4" s="66"/>
      <c r="BD4" s="66"/>
      <c r="BE4" s="211"/>
      <c r="BF4" s="165">
        <f>WEEKDAY(Sheet_1_Table_1_138[[#This Row],[Lesson 5
Date 
(DD-MMM-YYYY)]])</f>
        <v>7</v>
      </c>
      <c r="BG4" s="212"/>
      <c r="BH4" s="213"/>
      <c r="BI4" s="215"/>
      <c r="BJ4" s="68"/>
      <c r="BK4" s="165">
        <f>WEEKDAY(Sheet_1_Table_1_138[[#This Row],[Lesson 6
Date 
(DD-MMM-YYYY)]])</f>
        <v>7</v>
      </c>
      <c r="BL4" s="212"/>
      <c r="BM4" s="213"/>
      <c r="BN4" s="213"/>
      <c r="BO4" s="54" t="s">
        <v>291</v>
      </c>
      <c r="BP4" s="55" t="s">
        <v>1101</v>
      </c>
      <c r="BQ4" s="55" t="s">
        <v>1102</v>
      </c>
      <c r="BR4" s="53" t="s">
        <v>1103</v>
      </c>
      <c r="BS4" s="54"/>
      <c r="BT4" s="55"/>
      <c r="BU4" s="55"/>
      <c r="BV4" s="53"/>
      <c r="BW4" s="60"/>
      <c r="BX4" s="71"/>
      <c r="BY4" s="218" t="s">
        <v>149</v>
      </c>
      <c r="BZ4" s="218"/>
      <c r="CA4" s="218" t="s">
        <v>149</v>
      </c>
      <c r="CB4" s="220"/>
      <c r="CC4" s="220"/>
      <c r="CD4" s="221"/>
      <c r="CE4" s="60" t="s">
        <v>1091</v>
      </c>
      <c r="CF4" s="164" t="s">
        <v>1092</v>
      </c>
      <c r="CG4" s="60" t="s">
        <v>1093</v>
      </c>
      <c r="CH4" s="71" t="s">
        <v>1094</v>
      </c>
      <c r="CI4" s="223"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1104</v>
      </c>
      <c r="D5" s="50" t="s">
        <v>174</v>
      </c>
      <c r="E5" s="206">
        <v>5835</v>
      </c>
      <c r="F5" s="52" t="s">
        <v>134</v>
      </c>
      <c r="G5" s="53" t="s">
        <v>632</v>
      </c>
      <c r="H5" s="685" t="s">
        <v>1105</v>
      </c>
      <c r="I5" s="686" t="s">
        <v>1106</v>
      </c>
      <c r="J5" s="688" t="s">
        <v>1107</v>
      </c>
      <c r="K5" s="55" t="s">
        <v>1108</v>
      </c>
      <c r="L5" s="55"/>
      <c r="M5" s="56" t="s">
        <v>1109</v>
      </c>
      <c r="N5" s="219" t="s">
        <v>1110</v>
      </c>
      <c r="O5" s="58" t="s">
        <v>146</v>
      </c>
      <c r="P5" s="460" t="s">
        <v>146</v>
      </c>
      <c r="Q5" s="222" t="s">
        <v>1088</v>
      </c>
      <c r="R5" s="77" t="str">
        <f>VLOOKUP(Sheet_1_Table_1_138[[#This Row],[Learning Domain]],[10]List!$A$7:$B$12,2,0)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9" t="s">
        <v>190</v>
      </c>
      <c r="AE5" s="209" t="s">
        <v>142</v>
      </c>
      <c r="AF5" s="209" t="s">
        <v>146</v>
      </c>
      <c r="AG5" s="209" t="s">
        <v>142</v>
      </c>
      <c r="AH5" s="209">
        <v>2</v>
      </c>
      <c r="AI5" s="55">
        <v>30</v>
      </c>
      <c r="AJ5" s="210">
        <f>Sheet_1_Table_1_138[[#This Row],[ILP Units Per Session]]*Sheet_1_Table_1_138[[#This Row],[Quota]]</f>
        <v>60</v>
      </c>
      <c r="AK5" s="691">
        <v>46315</v>
      </c>
      <c r="AL5" s="64">
        <f>WEEKDAY(Sheet_1_Table_1_138[[#This Row],[Lesson 1 
Date 
(DD-MMM-YYYY)]])</f>
        <v>3</v>
      </c>
      <c r="AM5" s="65">
        <v>0.58333333333333337</v>
      </c>
      <c r="AN5" s="66">
        <v>0.66666666666666663</v>
      </c>
      <c r="AO5" s="689" t="s">
        <v>609</v>
      </c>
      <c r="AP5" s="690"/>
      <c r="AQ5" s="64">
        <f>WEEKDAY(Sheet_1_Table_1_138[[#This Row],[Lesson 2
Date 
(DD-MMM-YYYY)]])</f>
        <v>7</v>
      </c>
      <c r="AR5" s="65"/>
      <c r="AS5" s="66"/>
      <c r="AT5" s="66"/>
      <c r="AU5" s="211"/>
      <c r="AV5" s="165">
        <f>WEEKDAY(Sheet_1_Table_1_138[[#This Row],[Lesson 3
Date 
(DD-MMM-YYYY)]])</f>
        <v>7</v>
      </c>
      <c r="AW5" s="212"/>
      <c r="AX5" s="213"/>
      <c r="AY5" s="215"/>
      <c r="AZ5" s="68"/>
      <c r="BA5" s="64">
        <f>WEEKDAY(Sheet_1_Table_1_138[[#This Row],[Lesson 4
Date 
(DD-MMM-YYYY)]])</f>
        <v>7</v>
      </c>
      <c r="BB5" s="65"/>
      <c r="BC5" s="66"/>
      <c r="BD5" s="66"/>
      <c r="BE5" s="211"/>
      <c r="BF5" s="165">
        <f>WEEKDAY(Sheet_1_Table_1_138[[#This Row],[Lesson 5
Date 
(DD-MMM-YYYY)]])</f>
        <v>7</v>
      </c>
      <c r="BG5" s="212"/>
      <c r="BH5" s="213"/>
      <c r="BI5" s="215"/>
      <c r="BJ5" s="68"/>
      <c r="BK5" s="165">
        <f>WEEKDAY(Sheet_1_Table_1_138[[#This Row],[Lesson 6
Date 
(DD-MMM-YYYY)]])</f>
        <v>7</v>
      </c>
      <c r="BL5" s="212"/>
      <c r="BM5" s="213"/>
      <c r="BN5" s="213"/>
      <c r="BO5" s="54" t="s">
        <v>163</v>
      </c>
      <c r="BP5" s="55" t="s">
        <v>1111</v>
      </c>
      <c r="BQ5" s="55" t="s">
        <v>1112</v>
      </c>
      <c r="BR5" s="53" t="s">
        <v>1113</v>
      </c>
      <c r="BS5" s="54" t="s">
        <v>291</v>
      </c>
      <c r="BT5" s="55" t="s">
        <v>1114</v>
      </c>
      <c r="BU5" s="55" t="s">
        <v>1115</v>
      </c>
      <c r="BV5" s="53" t="s">
        <v>1113</v>
      </c>
      <c r="BW5" s="60"/>
      <c r="BX5" s="71"/>
      <c r="BY5" s="218" t="s">
        <v>149</v>
      </c>
      <c r="BZ5" s="218"/>
      <c r="CA5" s="218" t="s">
        <v>149</v>
      </c>
      <c r="CB5" s="220"/>
      <c r="CC5" s="220"/>
      <c r="CD5" s="221"/>
      <c r="CE5" s="60" t="s">
        <v>1091</v>
      </c>
      <c r="CF5" s="164" t="s">
        <v>1092</v>
      </c>
      <c r="CG5" s="60" t="s">
        <v>1093</v>
      </c>
      <c r="CH5" s="71" t="s">
        <v>1094</v>
      </c>
      <c r="CI5" s="223"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1116</v>
      </c>
      <c r="D6" s="50" t="s">
        <v>250</v>
      </c>
      <c r="E6" s="51">
        <v>5836</v>
      </c>
      <c r="F6" s="52" t="s">
        <v>134</v>
      </c>
      <c r="G6" s="53" t="s">
        <v>632</v>
      </c>
      <c r="H6" s="685" t="s">
        <v>1105</v>
      </c>
      <c r="I6" s="686" t="s">
        <v>1106</v>
      </c>
      <c r="J6" s="141" t="s">
        <v>1117</v>
      </c>
      <c r="K6" s="55" t="s">
        <v>1118</v>
      </c>
      <c r="L6" s="55"/>
      <c r="M6" s="56" t="s">
        <v>1119</v>
      </c>
      <c r="N6" s="57" t="s">
        <v>1120</v>
      </c>
      <c r="O6" s="58" t="s">
        <v>146</v>
      </c>
      <c r="P6" s="59" t="s">
        <v>146</v>
      </c>
      <c r="Q6" s="60" t="s">
        <v>1088</v>
      </c>
      <c r="R6" s="77" t="str">
        <f>VLOOKUP(Sheet_1_Table_1_138[[#This Row],[Learning Domain]],[10]List!$A$7:$B$12,2,0)</f>
        <v>SEW</v>
      </c>
      <c r="S6" s="55">
        <v>0</v>
      </c>
      <c r="T6" s="55">
        <v>0</v>
      </c>
      <c r="U6" s="55">
        <v>0</v>
      </c>
      <c r="V6" s="55">
        <v>80</v>
      </c>
      <c r="W6" s="55">
        <v>0</v>
      </c>
      <c r="X6" s="55">
        <v>20</v>
      </c>
      <c r="Y6" s="55">
        <v>0</v>
      </c>
      <c r="Z6" s="55">
        <v>0</v>
      </c>
      <c r="AA6" s="55">
        <v>0</v>
      </c>
      <c r="AB6" s="53">
        <v>100</v>
      </c>
      <c r="AC6" s="52" t="s">
        <v>144</v>
      </c>
      <c r="AD6" s="55" t="s">
        <v>353</v>
      </c>
      <c r="AE6" s="55" t="s">
        <v>142</v>
      </c>
      <c r="AF6" s="55" t="s">
        <v>146</v>
      </c>
      <c r="AG6" s="55" t="s">
        <v>142</v>
      </c>
      <c r="AH6" s="55">
        <v>1.5</v>
      </c>
      <c r="AI6" s="55">
        <v>200</v>
      </c>
      <c r="AJ6" s="210">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287</v>
      </c>
      <c r="BP6" s="55" t="s">
        <v>1121</v>
      </c>
      <c r="BQ6" s="55" t="s">
        <v>944</v>
      </c>
      <c r="BR6" s="53" t="s">
        <v>1122</v>
      </c>
      <c r="BS6" s="52"/>
      <c r="BT6" s="55"/>
      <c r="BU6" s="55"/>
      <c r="BV6" s="59"/>
      <c r="BW6" s="60"/>
      <c r="BX6" s="71"/>
      <c r="BY6" s="56" t="s">
        <v>149</v>
      </c>
      <c r="BZ6" s="56"/>
      <c r="CA6" s="56" t="s">
        <v>149</v>
      </c>
      <c r="CB6" s="72"/>
      <c r="CC6" s="72"/>
      <c r="CD6" s="71"/>
      <c r="CE6" s="60" t="s">
        <v>1123</v>
      </c>
      <c r="CF6" s="164" t="s">
        <v>1124</v>
      </c>
      <c r="CG6" s="60" t="s">
        <v>1093</v>
      </c>
      <c r="CH6" s="71" t="s">
        <v>1094</v>
      </c>
      <c r="CI6" s="223"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43">
        <v>202609</v>
      </c>
      <c r="C7" s="205" t="s">
        <v>1125</v>
      </c>
      <c r="D7" s="205" t="s">
        <v>174</v>
      </c>
      <c r="E7" s="206">
        <v>5837</v>
      </c>
      <c r="F7" s="52" t="s">
        <v>134</v>
      </c>
      <c r="G7" s="53" t="s">
        <v>632</v>
      </c>
      <c r="H7" s="685" t="s">
        <v>1083</v>
      </c>
      <c r="I7" s="686" t="s">
        <v>1084</v>
      </c>
      <c r="J7" s="688" t="s">
        <v>1126</v>
      </c>
      <c r="K7" s="55" t="s">
        <v>1127</v>
      </c>
      <c r="L7" s="55"/>
      <c r="M7" s="56" t="s">
        <v>1128</v>
      </c>
      <c r="N7" s="219" t="s">
        <v>1129</v>
      </c>
      <c r="O7" s="58" t="s">
        <v>146</v>
      </c>
      <c r="P7" s="460" t="s">
        <v>146</v>
      </c>
      <c r="Q7" s="222" t="s">
        <v>1088</v>
      </c>
      <c r="R7" s="77" t="str">
        <f>VLOOKUP(Sheet_1_Table_1_138[[#This Row],[Learning Domain]],[10]List!$A$7:$B$12,2,0)</f>
        <v>SEW</v>
      </c>
      <c r="S7" s="55">
        <v>0</v>
      </c>
      <c r="T7" s="55">
        <v>0</v>
      </c>
      <c r="U7" s="55">
        <v>0</v>
      </c>
      <c r="V7" s="55">
        <v>80</v>
      </c>
      <c r="W7" s="55">
        <v>0</v>
      </c>
      <c r="X7" s="55">
        <v>20</v>
      </c>
      <c r="Y7" s="55">
        <v>0</v>
      </c>
      <c r="Z7" s="55">
        <v>0</v>
      </c>
      <c r="AA7" s="55">
        <v>0</v>
      </c>
      <c r="AB7" s="53">
        <v>100</v>
      </c>
      <c r="AC7" s="52" t="s">
        <v>144</v>
      </c>
      <c r="AD7" s="209" t="s">
        <v>353</v>
      </c>
      <c r="AE7" s="209" t="s">
        <v>142</v>
      </c>
      <c r="AF7" s="209" t="s">
        <v>146</v>
      </c>
      <c r="AG7" s="209" t="s">
        <v>142</v>
      </c>
      <c r="AH7" s="209">
        <v>2</v>
      </c>
      <c r="AI7" s="55">
        <v>200</v>
      </c>
      <c r="AJ7" s="210">
        <f>Sheet_1_Table_1_138[[#This Row],[ILP Units Per Session]]*Sheet_1_Table_1_138[[#This Row],[Quota]]</f>
        <v>400</v>
      </c>
      <c r="AK7" s="63">
        <v>46310</v>
      </c>
      <c r="AL7" s="64">
        <f>WEEKDAY(Sheet_1_Table_1_138[[#This Row],[Lesson 1 
Date 
(DD-MMM-YYYY)]])</f>
        <v>5</v>
      </c>
      <c r="AM7" s="212">
        <v>0.625</v>
      </c>
      <c r="AN7" s="213">
        <v>0.70833333333333337</v>
      </c>
      <c r="AO7" s="215" t="s">
        <v>182</v>
      </c>
      <c r="AP7" s="687"/>
      <c r="AQ7" s="64"/>
      <c r="AR7" s="65"/>
      <c r="AS7" s="66"/>
      <c r="AT7" s="66"/>
      <c r="AU7" s="211"/>
      <c r="AV7" s="165"/>
      <c r="AW7" s="212"/>
      <c r="AX7" s="213"/>
      <c r="AY7" s="215"/>
      <c r="AZ7" s="68"/>
      <c r="BA7" s="64"/>
      <c r="BB7" s="65"/>
      <c r="BC7" s="66"/>
      <c r="BD7" s="66"/>
      <c r="BE7" s="211"/>
      <c r="BF7" s="165"/>
      <c r="BG7" s="212"/>
      <c r="BH7" s="213"/>
      <c r="BI7" s="215"/>
      <c r="BJ7" s="68"/>
      <c r="BK7" s="165"/>
      <c r="BL7" s="212"/>
      <c r="BM7" s="213"/>
      <c r="BN7" s="213"/>
      <c r="BO7" s="216" t="s">
        <v>291</v>
      </c>
      <c r="BP7" s="209" t="s">
        <v>1130</v>
      </c>
      <c r="BQ7" s="209" t="s">
        <v>935</v>
      </c>
      <c r="BR7" s="483" t="s">
        <v>1131</v>
      </c>
      <c r="BS7" s="52" t="s">
        <v>163</v>
      </c>
      <c r="BT7" s="209" t="s">
        <v>1132</v>
      </c>
      <c r="BU7" s="209" t="s">
        <v>1133</v>
      </c>
      <c r="BV7" s="59" t="s">
        <v>1134</v>
      </c>
      <c r="BW7" s="60"/>
      <c r="BX7" s="71"/>
      <c r="BY7" s="218" t="s">
        <v>149</v>
      </c>
      <c r="BZ7" s="218"/>
      <c r="CA7" s="218" t="s">
        <v>149</v>
      </c>
      <c r="CB7" s="220"/>
      <c r="CC7" s="220"/>
      <c r="CD7" s="221"/>
      <c r="CE7" s="222" t="s">
        <v>1123</v>
      </c>
      <c r="CF7" s="474" t="s">
        <v>1124</v>
      </c>
      <c r="CG7" s="60" t="s">
        <v>1093</v>
      </c>
      <c r="CH7" s="71" t="s">
        <v>1094</v>
      </c>
      <c r="CI7" s="223"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24"/>
      <c r="DH7" s="224"/>
      <c r="DI7" s="74"/>
      <c r="DJ7" s="75"/>
      <c r="DK7" s="225" t="s">
        <v>146</v>
      </c>
      <c r="DL7" s="225" t="s">
        <v>146</v>
      </c>
      <c r="DM7" s="225"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92" t="s">
        <v>1135</v>
      </c>
      <c r="B8" s="49">
        <v>202609</v>
      </c>
      <c r="C8" s="50" t="s">
        <v>1136</v>
      </c>
      <c r="D8" s="50" t="s">
        <v>174</v>
      </c>
      <c r="E8" s="206">
        <v>5838</v>
      </c>
      <c r="F8" s="52" t="s">
        <v>134</v>
      </c>
      <c r="G8" s="53" t="s">
        <v>632</v>
      </c>
      <c r="H8" s="685" t="s">
        <v>1105</v>
      </c>
      <c r="I8" s="686" t="s">
        <v>1106</v>
      </c>
      <c r="J8" s="688" t="s">
        <v>1137</v>
      </c>
      <c r="K8" s="55" t="s">
        <v>1138</v>
      </c>
      <c r="L8" s="55"/>
      <c r="M8" s="56" t="s">
        <v>1139</v>
      </c>
      <c r="N8" s="219" t="s">
        <v>1140</v>
      </c>
      <c r="O8" s="58" t="s">
        <v>146</v>
      </c>
      <c r="P8" s="460" t="s">
        <v>146</v>
      </c>
      <c r="Q8" s="222" t="s">
        <v>1088</v>
      </c>
      <c r="R8" s="77" t="str">
        <f>VLOOKUP(Sheet_1_Table_1_138[[#This Row],[Learning Domain]],[10]List!$A$7:$B$12,2,0)</f>
        <v>SEW</v>
      </c>
      <c r="S8" s="55">
        <v>0</v>
      </c>
      <c r="T8" s="55">
        <v>0</v>
      </c>
      <c r="U8" s="55">
        <v>0</v>
      </c>
      <c r="V8" s="55">
        <v>70</v>
      </c>
      <c r="W8" s="55">
        <v>0</v>
      </c>
      <c r="X8" s="55">
        <v>30</v>
      </c>
      <c r="Y8" s="55">
        <v>0</v>
      </c>
      <c r="Z8" s="55">
        <v>0</v>
      </c>
      <c r="AA8" s="55">
        <v>0</v>
      </c>
      <c r="AB8" s="53">
        <v>100</v>
      </c>
      <c r="AC8" s="52" t="s">
        <v>199</v>
      </c>
      <c r="AD8" s="209" t="s">
        <v>190</v>
      </c>
      <c r="AE8" s="209" t="s">
        <v>142</v>
      </c>
      <c r="AF8" s="209" t="s">
        <v>146</v>
      </c>
      <c r="AG8" s="209" t="s">
        <v>142</v>
      </c>
      <c r="AH8" s="209">
        <v>2.5</v>
      </c>
      <c r="AI8" s="55">
        <v>30</v>
      </c>
      <c r="AJ8" s="210">
        <f>Sheet_1_Table_1_138[[#This Row],[ILP Units Per Session]]*Sheet_1_Table_1_138[[#This Row],[Quota]]</f>
        <v>75</v>
      </c>
      <c r="AK8" s="438">
        <v>46324</v>
      </c>
      <c r="AL8" s="64">
        <f>WEEKDAY(Sheet_1_Table_1_138[[#This Row],[Lesson 1 
Date 
(DD-MMM-YYYY)]])</f>
        <v>5</v>
      </c>
      <c r="AM8" s="212">
        <v>0.58333333333333337</v>
      </c>
      <c r="AN8" s="213">
        <v>0.6875</v>
      </c>
      <c r="AO8" s="689" t="s">
        <v>1141</v>
      </c>
      <c r="AP8" s="690"/>
      <c r="AQ8" s="64">
        <f>WEEKDAY(Sheet_1_Table_1_138[[#This Row],[Lesson 2
Date 
(DD-MMM-YYYY)]])</f>
        <v>7</v>
      </c>
      <c r="AR8" s="65"/>
      <c r="AS8" s="66"/>
      <c r="AT8" s="66"/>
      <c r="AU8" s="211"/>
      <c r="AV8" s="165"/>
      <c r="AW8" s="212"/>
      <c r="AX8" s="213"/>
      <c r="AY8" s="215"/>
      <c r="AZ8" s="68"/>
      <c r="BA8" s="64"/>
      <c r="BB8" s="65"/>
      <c r="BC8" s="66"/>
      <c r="BD8" s="66"/>
      <c r="BE8" s="211"/>
      <c r="BF8" s="165"/>
      <c r="BG8" s="212"/>
      <c r="BH8" s="213"/>
      <c r="BI8" s="215"/>
      <c r="BJ8" s="68"/>
      <c r="BK8" s="165"/>
      <c r="BL8" s="212"/>
      <c r="BM8" s="213"/>
      <c r="BN8" s="213"/>
      <c r="BO8" s="216" t="s">
        <v>291</v>
      </c>
      <c r="BP8" s="209" t="s">
        <v>1142</v>
      </c>
      <c r="BQ8" s="209" t="s">
        <v>944</v>
      </c>
      <c r="BR8" s="483" t="s">
        <v>1143</v>
      </c>
      <c r="BS8" s="52"/>
      <c r="BT8" s="209"/>
      <c r="BU8" s="209"/>
      <c r="BV8" s="59"/>
      <c r="BW8" s="60"/>
      <c r="BX8" s="71">
        <v>100</v>
      </c>
      <c r="BY8" s="218" t="s">
        <v>149</v>
      </c>
      <c r="BZ8" s="218"/>
      <c r="CA8" s="218" t="s">
        <v>149</v>
      </c>
      <c r="CB8" s="220"/>
      <c r="CC8" s="220"/>
      <c r="CD8" s="221"/>
      <c r="CE8" s="222" t="s">
        <v>1123</v>
      </c>
      <c r="CF8" s="474" t="s">
        <v>1124</v>
      </c>
      <c r="CG8" s="60" t="s">
        <v>1093</v>
      </c>
      <c r="CH8" s="71" t="s">
        <v>1094</v>
      </c>
      <c r="CI8" s="223"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24"/>
      <c r="DH8" s="224"/>
      <c r="DI8" s="74"/>
      <c r="DJ8" s="75"/>
      <c r="DK8" s="225" t="s">
        <v>146</v>
      </c>
      <c r="DL8" s="225" t="s">
        <v>146</v>
      </c>
      <c r="DM8" s="225"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1144</v>
      </c>
      <c r="D9" s="50" t="s">
        <v>250</v>
      </c>
      <c r="E9" s="51">
        <v>5839</v>
      </c>
      <c r="F9" s="52" t="s">
        <v>134</v>
      </c>
      <c r="G9" s="53" t="s">
        <v>632</v>
      </c>
      <c r="H9" s="685" t="s">
        <v>1083</v>
      </c>
      <c r="I9" s="686" t="s">
        <v>1084</v>
      </c>
      <c r="J9" s="693" t="s">
        <v>1145</v>
      </c>
      <c r="K9" s="55" t="s">
        <v>1146</v>
      </c>
      <c r="L9" s="55"/>
      <c r="M9" s="56" t="s">
        <v>1147</v>
      </c>
      <c r="N9" s="219" t="s">
        <v>1148</v>
      </c>
      <c r="O9" s="78" t="s">
        <v>146</v>
      </c>
      <c r="P9" s="59" t="s">
        <v>146</v>
      </c>
      <c r="Q9" s="60" t="s">
        <v>1088</v>
      </c>
      <c r="R9" s="61" t="str">
        <f>VLOOKUP(Sheet_1_Table_1_138[[#This Row],[Learning Domain]],[10]List!$A$7:$B$12,2,0)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353</v>
      </c>
      <c r="AE9" s="55" t="s">
        <v>142</v>
      </c>
      <c r="AF9" s="55" t="s">
        <v>146</v>
      </c>
      <c r="AG9" s="55" t="s">
        <v>142</v>
      </c>
      <c r="AH9" s="55">
        <v>1</v>
      </c>
      <c r="AI9" s="55">
        <v>200</v>
      </c>
      <c r="AJ9" s="210">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291</v>
      </c>
      <c r="BP9" s="55" t="s">
        <v>1149</v>
      </c>
      <c r="BQ9" s="55" t="s">
        <v>1150</v>
      </c>
      <c r="BR9" s="52" t="s">
        <v>1151</v>
      </c>
      <c r="BS9" s="52"/>
      <c r="BT9" s="56"/>
      <c r="BU9" s="56"/>
      <c r="BV9" s="70"/>
      <c r="BW9" s="60"/>
      <c r="BX9" s="71"/>
      <c r="BY9" s="56" t="s">
        <v>184</v>
      </c>
      <c r="BZ9" s="56"/>
      <c r="CA9" s="56" t="s">
        <v>184</v>
      </c>
      <c r="CB9" s="72"/>
      <c r="CC9" s="72"/>
      <c r="CD9" s="71"/>
      <c r="CE9" s="60" t="s">
        <v>1152</v>
      </c>
      <c r="CF9" s="71" t="s">
        <v>1153</v>
      </c>
      <c r="CG9" s="60" t="s">
        <v>1093</v>
      </c>
      <c r="CH9" s="71" t="s">
        <v>1094</v>
      </c>
      <c r="CI9" s="173" t="s">
        <v>146</v>
      </c>
      <c r="CJ9" s="52" t="s">
        <v>142</v>
      </c>
      <c r="CK9" s="52" t="s">
        <v>142</v>
      </c>
      <c r="CL9" s="173"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1154</v>
      </c>
      <c r="D10" s="50" t="s">
        <v>174</v>
      </c>
      <c r="E10" s="51">
        <v>5840</v>
      </c>
      <c r="F10" s="52" t="s">
        <v>134</v>
      </c>
      <c r="G10" s="53" t="s">
        <v>632</v>
      </c>
      <c r="H10" s="685" t="s">
        <v>1105</v>
      </c>
      <c r="I10" s="686" t="s">
        <v>1106</v>
      </c>
      <c r="J10" s="693" t="s">
        <v>1155</v>
      </c>
      <c r="K10" s="55" t="s">
        <v>1156</v>
      </c>
      <c r="L10" s="55"/>
      <c r="M10" s="56" t="s">
        <v>1157</v>
      </c>
      <c r="N10" s="57" t="s">
        <v>1158</v>
      </c>
      <c r="O10" s="78" t="s">
        <v>146</v>
      </c>
      <c r="P10" s="59" t="s">
        <v>146</v>
      </c>
      <c r="Q10" s="60" t="s">
        <v>1088</v>
      </c>
      <c r="R10" s="61" t="str">
        <f>VLOOKUP(Sheet_1_Table_1_138[[#This Row],[Learning Domain]],[10]List!$A$7:$B$12,2,0)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353</v>
      </c>
      <c r="AE10" s="55" t="s">
        <v>142</v>
      </c>
      <c r="AF10" s="55" t="s">
        <v>146</v>
      </c>
      <c r="AG10" s="55" t="s">
        <v>142</v>
      </c>
      <c r="AH10" s="55">
        <v>1</v>
      </c>
      <c r="AI10" s="55">
        <v>200</v>
      </c>
      <c r="AJ10" s="210">
        <f>Sheet_1_Table_1_138[[#This Row],[ILP Units Per Session]]*Sheet_1_Table_1_138[[#This Row],[Quota]]</f>
        <v>200</v>
      </c>
      <c r="AK10" s="63">
        <v>46307</v>
      </c>
      <c r="AL10" s="64">
        <f>WEEKDAY(Sheet_1_Table_1_138[[#This Row],[Lesson 1 
Date 
(DD-MMM-YYYY)]])</f>
        <v>2</v>
      </c>
      <c r="AM10" s="65">
        <v>0.60416666666666663</v>
      </c>
      <c r="AN10" s="69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291</v>
      </c>
      <c r="BP10" s="55" t="s">
        <v>1149</v>
      </c>
      <c r="BQ10" s="55" t="s">
        <v>1150</v>
      </c>
      <c r="BR10" s="52" t="s">
        <v>1151</v>
      </c>
      <c r="BS10" s="52"/>
      <c r="BT10" s="56"/>
      <c r="BU10" s="56"/>
      <c r="BV10" s="70"/>
      <c r="BW10" s="60"/>
      <c r="BX10" s="71"/>
      <c r="BY10" s="56" t="s">
        <v>149</v>
      </c>
      <c r="BZ10" s="56"/>
      <c r="CA10" s="56" t="s">
        <v>149</v>
      </c>
      <c r="CB10" s="72"/>
      <c r="CC10" s="72"/>
      <c r="CD10" s="71"/>
      <c r="CE10" s="60" t="s">
        <v>1152</v>
      </c>
      <c r="CF10" s="71" t="s">
        <v>1153</v>
      </c>
      <c r="CG10" s="60" t="s">
        <v>1093</v>
      </c>
      <c r="CH10" s="71" t="s">
        <v>1094</v>
      </c>
      <c r="CI10" s="173" t="s">
        <v>146</v>
      </c>
      <c r="CJ10" s="52" t="s">
        <v>142</v>
      </c>
      <c r="CK10" s="52" t="s">
        <v>142</v>
      </c>
      <c r="CL10" s="173"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1159</v>
      </c>
      <c r="D11" s="50" t="s">
        <v>174</v>
      </c>
      <c r="E11" s="51">
        <v>5841</v>
      </c>
      <c r="F11" s="52" t="s">
        <v>134</v>
      </c>
      <c r="G11" s="53" t="s">
        <v>632</v>
      </c>
      <c r="H11" s="685" t="s">
        <v>1105</v>
      </c>
      <c r="I11" s="686" t="s">
        <v>1106</v>
      </c>
      <c r="J11" s="152" t="s">
        <v>1160</v>
      </c>
      <c r="K11" s="55" t="s">
        <v>1161</v>
      </c>
      <c r="L11" s="55"/>
      <c r="M11" s="56" t="s">
        <v>1162</v>
      </c>
      <c r="N11" s="57" t="s">
        <v>1163</v>
      </c>
      <c r="O11" s="78" t="s">
        <v>146</v>
      </c>
      <c r="P11" s="59" t="s">
        <v>146</v>
      </c>
      <c r="Q11" s="60" t="s">
        <v>1088</v>
      </c>
      <c r="R11" s="77" t="str">
        <f>VLOOKUP(Sheet_1_Table_1_138[[#This Row],[Learning Domain]],[10]List!$A$7:$B$12,2,0)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353</v>
      </c>
      <c r="AE11" s="55" t="s">
        <v>146</v>
      </c>
      <c r="AF11" s="55" t="s">
        <v>142</v>
      </c>
      <c r="AG11" s="55" t="s">
        <v>142</v>
      </c>
      <c r="AH11" s="55">
        <v>1</v>
      </c>
      <c r="AI11" s="55">
        <v>200</v>
      </c>
      <c r="AJ11" s="210">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291</v>
      </c>
      <c r="BP11" s="55" t="s">
        <v>1149</v>
      </c>
      <c r="BQ11" s="55" t="s">
        <v>1150</v>
      </c>
      <c r="BR11" s="52" t="s">
        <v>1151</v>
      </c>
      <c r="BS11" s="52"/>
      <c r="BT11" s="56"/>
      <c r="BU11" s="56"/>
      <c r="BV11" s="70"/>
      <c r="BW11" s="60"/>
      <c r="BX11" s="71"/>
      <c r="BY11" s="56" t="s">
        <v>184</v>
      </c>
      <c r="BZ11" s="56"/>
      <c r="CA11" s="56" t="s">
        <v>184</v>
      </c>
      <c r="CB11" s="72"/>
      <c r="CC11" s="72"/>
      <c r="CD11" s="71"/>
      <c r="CE11" s="60" t="s">
        <v>1152</v>
      </c>
      <c r="CF11" s="71" t="s">
        <v>1153</v>
      </c>
      <c r="CG11" s="60" t="s">
        <v>1093</v>
      </c>
      <c r="CH11" s="71" t="s">
        <v>1094</v>
      </c>
      <c r="CI11" s="173" t="s">
        <v>146</v>
      </c>
      <c r="CJ11" s="52" t="s">
        <v>142</v>
      </c>
      <c r="CK11" s="52" t="s">
        <v>142</v>
      </c>
      <c r="CL11" s="173"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1164</v>
      </c>
      <c r="D12" s="50" t="s">
        <v>174</v>
      </c>
      <c r="E12" s="51">
        <v>5842</v>
      </c>
      <c r="F12" s="52" t="s">
        <v>134</v>
      </c>
      <c r="G12" s="53" t="s">
        <v>632</v>
      </c>
      <c r="H12" s="173" t="s">
        <v>1165</v>
      </c>
      <c r="I12" s="686" t="s">
        <v>1166</v>
      </c>
      <c r="J12" s="693" t="s">
        <v>1167</v>
      </c>
      <c r="K12" s="55" t="s">
        <v>1168</v>
      </c>
      <c r="L12" s="55"/>
      <c r="M12" s="56" t="s">
        <v>1169</v>
      </c>
      <c r="N12" s="57" t="s">
        <v>1170</v>
      </c>
      <c r="O12" s="78" t="s">
        <v>146</v>
      </c>
      <c r="P12" s="59" t="s">
        <v>146</v>
      </c>
      <c r="Q12" s="60" t="s">
        <v>1088</v>
      </c>
      <c r="R12" s="61" t="str">
        <f>VLOOKUP(Sheet_1_Table_1_138[[#This Row],[Learning Domain]],[10]List!$A$7:$B$12,2,0)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353</v>
      </c>
      <c r="AE12" s="55" t="s">
        <v>142</v>
      </c>
      <c r="AF12" s="55" t="s">
        <v>146</v>
      </c>
      <c r="AG12" s="55" t="s">
        <v>142</v>
      </c>
      <c r="AH12" s="55">
        <v>1</v>
      </c>
      <c r="AI12" s="55">
        <v>200</v>
      </c>
      <c r="AJ12" s="210">
        <f>Sheet_1_Table_1_138[[#This Row],[ILP Units Per Session]]*Sheet_1_Table_1_138[[#This Row],[Quota]]</f>
        <v>200</v>
      </c>
      <c r="AK12" s="63">
        <v>46300</v>
      </c>
      <c r="AL12" s="64">
        <f>WEEKDAY(Sheet_1_Table_1_138[[#This Row],[Lesson 1 
Date 
(DD-MMM-YYYY)]])</f>
        <v>2</v>
      </c>
      <c r="AM12" s="65">
        <v>0.60416666666666663</v>
      </c>
      <c r="AN12" s="66">
        <v>0.66666666666666663</v>
      </c>
      <c r="AO12" s="67" t="s">
        <v>1171</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1172</v>
      </c>
      <c r="BQ12" s="55" t="s">
        <v>1173</v>
      </c>
      <c r="BR12" s="53" t="s">
        <v>1174</v>
      </c>
      <c r="BS12" s="52"/>
      <c r="BT12" s="56"/>
      <c r="BU12" s="56"/>
      <c r="BV12" s="70"/>
      <c r="BW12" s="60"/>
      <c r="BX12" s="71"/>
      <c r="BY12" s="56" t="s">
        <v>149</v>
      </c>
      <c r="BZ12" s="56"/>
      <c r="CA12" s="56" t="s">
        <v>149</v>
      </c>
      <c r="CB12" s="72"/>
      <c r="CC12" s="72"/>
      <c r="CD12" s="71"/>
      <c r="CE12" s="60" t="s">
        <v>1175</v>
      </c>
      <c r="CF12" s="164" t="s">
        <v>1176</v>
      </c>
      <c r="CG12" s="60" t="s">
        <v>1093</v>
      </c>
      <c r="CH12" s="71" t="s">
        <v>1094</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1177</v>
      </c>
      <c r="D13" s="50" t="s">
        <v>174</v>
      </c>
      <c r="E13" s="51">
        <v>5843</v>
      </c>
      <c r="F13" s="52" t="s">
        <v>134</v>
      </c>
      <c r="G13" s="53" t="s">
        <v>632</v>
      </c>
      <c r="H13" s="173" t="s">
        <v>1165</v>
      </c>
      <c r="I13" s="686" t="s">
        <v>1166</v>
      </c>
      <c r="J13" s="444" t="s">
        <v>1178</v>
      </c>
      <c r="K13" s="55" t="s">
        <v>1179</v>
      </c>
      <c r="L13" s="55"/>
      <c r="M13" s="56" t="s">
        <v>1180</v>
      </c>
      <c r="N13" s="57" t="s">
        <v>1181</v>
      </c>
      <c r="O13" s="78" t="s">
        <v>146</v>
      </c>
      <c r="P13" s="59" t="s">
        <v>146</v>
      </c>
      <c r="Q13" s="60" t="s">
        <v>1088</v>
      </c>
      <c r="R13" s="77" t="str">
        <f>VLOOKUP(Sheet_1_Table_1_138[[#This Row],[Learning Domain]],[10]List!$A$7:$B$12,2,0)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353</v>
      </c>
      <c r="AE13" s="55" t="s">
        <v>146</v>
      </c>
      <c r="AF13" s="55" t="s">
        <v>708</v>
      </c>
      <c r="AG13" s="55" t="s">
        <v>142</v>
      </c>
      <c r="AH13" s="55">
        <v>1</v>
      </c>
      <c r="AI13" s="55">
        <v>200</v>
      </c>
      <c r="AJ13" s="210">
        <f>Sheet_1_Table_1_138[[#This Row],[ILP Units Per Session]]*Sheet_1_Table_1_138[[#This Row],[Quota]]</f>
        <v>200</v>
      </c>
      <c r="AK13" s="63">
        <v>46309</v>
      </c>
      <c r="AL13" s="64">
        <f>WEEKDAY(Sheet_1_Table_1_138[[#This Row],[Lesson 1 
Date 
(DD-MMM-YYYY)]])</f>
        <v>4</v>
      </c>
      <c r="AM13" s="65">
        <v>0.60416666666666663</v>
      </c>
      <c r="AN13" s="66">
        <v>0.64583333333333337</v>
      </c>
      <c r="AO13" s="67" t="s">
        <v>1171</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287</v>
      </c>
      <c r="BP13" s="55" t="s">
        <v>1182</v>
      </c>
      <c r="BQ13" s="55" t="s">
        <v>1183</v>
      </c>
      <c r="BR13" s="53" t="s">
        <v>1184</v>
      </c>
      <c r="BS13" s="52"/>
      <c r="BT13" s="56"/>
      <c r="BU13" s="56"/>
      <c r="BV13" s="70"/>
      <c r="BW13" s="60"/>
      <c r="BX13" s="71"/>
      <c r="BY13" s="56"/>
      <c r="BZ13" s="56"/>
      <c r="CA13" s="56"/>
      <c r="CB13" s="72"/>
      <c r="CC13" s="72"/>
      <c r="CD13" s="71"/>
      <c r="CE13" s="60" t="s">
        <v>1175</v>
      </c>
      <c r="CF13" s="164" t="s">
        <v>1176</v>
      </c>
      <c r="CG13" s="60" t="s">
        <v>1093</v>
      </c>
      <c r="CH13" s="71" t="s">
        <v>1094</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1185</v>
      </c>
      <c r="D14" s="50" t="s">
        <v>250</v>
      </c>
      <c r="E14" s="51">
        <v>5844</v>
      </c>
      <c r="F14" s="52" t="s">
        <v>134</v>
      </c>
      <c r="G14" s="53" t="s">
        <v>632</v>
      </c>
      <c r="H14" s="685" t="s">
        <v>1083</v>
      </c>
      <c r="I14" s="686" t="s">
        <v>1084</v>
      </c>
      <c r="J14" s="300" t="s">
        <v>1186</v>
      </c>
      <c r="K14" s="300" t="s">
        <v>1187</v>
      </c>
      <c r="L14" s="55"/>
      <c r="M14" s="789" t="s">
        <v>2222</v>
      </c>
      <c r="N14" s="219" t="s">
        <v>1188</v>
      </c>
      <c r="O14" s="78" t="s">
        <v>146</v>
      </c>
      <c r="P14" s="59" t="s">
        <v>146</v>
      </c>
      <c r="Q14" s="60" t="s">
        <v>1088</v>
      </c>
      <c r="R14" s="77" t="s">
        <v>1189</v>
      </c>
      <c r="S14" s="55">
        <v>0</v>
      </c>
      <c r="T14" s="55">
        <v>0</v>
      </c>
      <c r="U14" s="55">
        <v>0</v>
      </c>
      <c r="V14" s="55">
        <v>100</v>
      </c>
      <c r="W14" s="55">
        <v>0</v>
      </c>
      <c r="X14" s="55">
        <v>0</v>
      </c>
      <c r="Y14" s="55">
        <v>0</v>
      </c>
      <c r="Z14" s="55">
        <v>0</v>
      </c>
      <c r="AA14" s="55">
        <v>0</v>
      </c>
      <c r="AB14" s="53">
        <v>100</v>
      </c>
      <c r="AC14" s="52" t="s">
        <v>144</v>
      </c>
      <c r="AD14" s="55" t="s">
        <v>353</v>
      </c>
      <c r="AE14" s="55" t="s">
        <v>142</v>
      </c>
      <c r="AF14" s="55" t="s">
        <v>146</v>
      </c>
      <c r="AG14" s="55" t="s">
        <v>142</v>
      </c>
      <c r="AH14" s="55">
        <v>1</v>
      </c>
      <c r="AI14" s="55">
        <v>150</v>
      </c>
      <c r="AJ14" s="210">
        <f>Sheet_1_Table_1_138[[#This Row],[ILP Units Per Session]]*Sheet_1_Table_1_138[[#This Row],[Quota]]</f>
        <v>150</v>
      </c>
      <c r="AK14" s="63">
        <v>46293</v>
      </c>
      <c r="AL14" s="64">
        <f>WEEKDAY(Sheet_1_Table_1_138[[#This Row],[Lesson 1 
Date 
(DD-MMM-YYYY)]])</f>
        <v>2</v>
      </c>
      <c r="AM14" s="65">
        <v>0.625</v>
      </c>
      <c r="AN14" s="66">
        <v>0.66666666666666663</v>
      </c>
      <c r="AO14" s="67" t="s">
        <v>1171</v>
      </c>
      <c r="AP14" s="687"/>
      <c r="AQ14" s="64" t="e">
        <f>WEEKDAY([11]!Sheet_1_Table_1_13[[#This Row],[Lesson 2
Date 
(DD-MMM-YYYY)]])</f>
        <v>#REF!</v>
      </c>
      <c r="AR14" s="65"/>
      <c r="AS14" s="66"/>
      <c r="AT14" s="66"/>
      <c r="AU14" s="63"/>
      <c r="AV14" s="64" t="e">
        <f>WEEKDAY([11]!Sheet_1_Table_1_13[[#This Row],[Lesson 3
Date 
(DD-MMM-YYYY)]])</f>
        <v>#REF!</v>
      </c>
      <c r="AW14" s="65"/>
      <c r="AX14" s="66"/>
      <c r="AY14" s="67"/>
      <c r="AZ14" s="68"/>
      <c r="BA14" s="64" t="e">
        <f>WEEKDAY([11]!Sheet_1_Table_1_13[[#This Row],[Lesson 4
Date 
(DD-MMM-YYYY)]])</f>
        <v>#REF!</v>
      </c>
      <c r="BB14" s="65"/>
      <c r="BC14" s="66"/>
      <c r="BD14" s="66"/>
      <c r="BE14" s="63"/>
      <c r="BF14" s="64" t="e">
        <f>WEEKDAY([11]!Sheet_1_Table_1_13[[#This Row],[Lesson 5
Date 
(DD-MMM-YYYY)]])</f>
        <v>#REF!</v>
      </c>
      <c r="BG14" s="65"/>
      <c r="BH14" s="66"/>
      <c r="BI14" s="67"/>
      <c r="BJ14" s="68"/>
      <c r="BK14" s="64" t="e">
        <f>WEEKDAY([11]!Sheet_1_Table_1_13[[#This Row],[Lesson 6
Date 
(DD-MMM-YYYY)]])</f>
        <v>#REF!</v>
      </c>
      <c r="BL14" s="65"/>
      <c r="BM14" s="66"/>
      <c r="BN14" s="66"/>
      <c r="BO14" s="54" t="s">
        <v>287</v>
      </c>
      <c r="BP14" s="55" t="s">
        <v>1190</v>
      </c>
      <c r="BQ14" s="55" t="s">
        <v>1191</v>
      </c>
      <c r="BR14" s="57" t="s">
        <v>1192</v>
      </c>
      <c r="BS14" s="52"/>
      <c r="BT14" s="56"/>
      <c r="BU14" s="56"/>
      <c r="BV14" s="70"/>
      <c r="BW14" s="60"/>
      <c r="BX14" s="71"/>
      <c r="BY14" s="56"/>
      <c r="BZ14" s="56"/>
      <c r="CA14" s="56"/>
      <c r="CB14" s="72"/>
      <c r="CC14" s="72"/>
      <c r="CD14" s="71"/>
      <c r="CE14" s="60" t="s">
        <v>1175</v>
      </c>
      <c r="CF14" s="164" t="s">
        <v>1176</v>
      </c>
      <c r="CG14" s="60" t="s">
        <v>1093</v>
      </c>
      <c r="CH14" s="71" t="s">
        <v>1094</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1193</v>
      </c>
      <c r="D15" s="50" t="s">
        <v>250</v>
      </c>
      <c r="E15" s="51">
        <v>5845</v>
      </c>
      <c r="F15" s="52" t="s">
        <v>134</v>
      </c>
      <c r="G15" s="53" t="s">
        <v>632</v>
      </c>
      <c r="H15" s="685" t="s">
        <v>1194</v>
      </c>
      <c r="I15" s="686" t="s">
        <v>1195</v>
      </c>
      <c r="J15" s="141" t="s">
        <v>1196</v>
      </c>
      <c r="K15" s="69" t="s">
        <v>1197</v>
      </c>
      <c r="L15" s="55"/>
      <c r="M15" s="56" t="s">
        <v>1198</v>
      </c>
      <c r="N15" s="57" t="s">
        <v>1199</v>
      </c>
      <c r="O15" s="58" t="s">
        <v>146</v>
      </c>
      <c r="P15" s="59" t="s">
        <v>146</v>
      </c>
      <c r="Q15" s="60" t="s">
        <v>1088</v>
      </c>
      <c r="R15" s="61" t="s">
        <v>1189</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10">
        <f>Sheet_1_Table_1_138[[#This Row],[ILP Units Per Session]]*Sheet_1_Table_1_138[[#This Row],[Quota]]</f>
        <v>40</v>
      </c>
      <c r="AK15" s="63">
        <v>46287</v>
      </c>
      <c r="AL15" s="64">
        <f>WEEKDAY(Sheet_1_Table_1_138[[#This Row],[Lesson 1 
Date 
(DD-MMM-YYYY)]])</f>
        <v>3</v>
      </c>
      <c r="AM15" s="65">
        <v>0.58333333333333337</v>
      </c>
      <c r="AN15" s="66">
        <v>0.66666666666666663</v>
      </c>
      <c r="AO15" s="689" t="s">
        <v>1100</v>
      </c>
      <c r="AP15" s="690"/>
      <c r="AQ15" s="64">
        <f>WEEKDAY(Sheet_1_Table_1_138[[#This Row],[Lesson 2
Date 
(DD-MMM-YYYY)]])</f>
        <v>7</v>
      </c>
      <c r="AR15" s="65"/>
      <c r="AS15" s="66"/>
      <c r="AT15" s="66"/>
      <c r="AU15" s="63"/>
      <c r="AV15" s="64" t="e">
        <f>WEEKDAY([12]!Sheet_1_Table_1_13[[#This Row],[Lesson 3
Date 
(DD-MMM-YYYY)]])</f>
        <v>#REF!</v>
      </c>
      <c r="AW15" s="65"/>
      <c r="AX15" s="66"/>
      <c r="AY15" s="67"/>
      <c r="AZ15" s="68"/>
      <c r="BA15" s="64" t="e">
        <f>WEEKDAY([12]!Sheet_1_Table_1_13[[#This Row],[Lesson 4
Date 
(DD-MMM-YYYY)]])</f>
        <v>#REF!</v>
      </c>
      <c r="BB15" s="65"/>
      <c r="BC15" s="66"/>
      <c r="BD15" s="66"/>
      <c r="BE15" s="63"/>
      <c r="BF15" s="64" t="e">
        <f>WEEKDAY([12]!Sheet_1_Table_1_13[[#This Row],[Lesson 5
Date 
(DD-MMM-YYYY)]])</f>
        <v>#REF!</v>
      </c>
      <c r="BG15" s="65"/>
      <c r="BH15" s="66"/>
      <c r="BI15" s="67"/>
      <c r="BJ15" s="68"/>
      <c r="BK15" s="64" t="e">
        <f>WEEKDAY([12]!Sheet_1_Table_1_13[[#This Row],[Lesson 6
Date 
(DD-MMM-YYYY)]])</f>
        <v>#REF!</v>
      </c>
      <c r="BL15" s="65"/>
      <c r="BM15" s="66"/>
      <c r="BN15" s="66"/>
      <c r="BO15" s="54" t="s">
        <v>163</v>
      </c>
      <c r="BP15" s="83" t="s">
        <v>1200</v>
      </c>
      <c r="BQ15" s="55" t="s">
        <v>165</v>
      </c>
      <c r="BR15" s="57" t="s">
        <v>1201</v>
      </c>
      <c r="BS15" s="52"/>
      <c r="BT15" s="56"/>
      <c r="BU15" s="56"/>
      <c r="BV15" s="70"/>
      <c r="BW15" s="60"/>
      <c r="BX15" s="71"/>
      <c r="BY15" s="56"/>
      <c r="BZ15" s="56"/>
      <c r="CA15" s="56"/>
      <c r="CB15" s="72"/>
      <c r="CC15" s="72"/>
      <c r="CD15" s="71"/>
      <c r="CE15" s="60" t="s">
        <v>1202</v>
      </c>
      <c r="CF15" s="164" t="s">
        <v>1203</v>
      </c>
      <c r="CG15" s="60" t="s">
        <v>1093</v>
      </c>
      <c r="CH15" s="71" t="s">
        <v>1094</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1204</v>
      </c>
      <c r="D16" s="50" t="s">
        <v>174</v>
      </c>
      <c r="E16" s="51">
        <v>5846</v>
      </c>
      <c r="F16" s="52" t="s">
        <v>134</v>
      </c>
      <c r="G16" s="53" t="s">
        <v>632</v>
      </c>
      <c r="H16" s="685" t="s">
        <v>1205</v>
      </c>
      <c r="I16" s="686" t="s">
        <v>1084</v>
      </c>
      <c r="J16" s="141" t="s">
        <v>1206</v>
      </c>
      <c r="K16" s="69" t="s">
        <v>1207</v>
      </c>
      <c r="L16" s="55"/>
      <c r="M16" s="434" t="s">
        <v>1208</v>
      </c>
      <c r="N16" s="57" t="s">
        <v>1209</v>
      </c>
      <c r="O16" s="58" t="s">
        <v>146</v>
      </c>
      <c r="P16" s="59" t="s">
        <v>146</v>
      </c>
      <c r="Q16" s="60" t="s">
        <v>1088</v>
      </c>
      <c r="R16" s="61" t="s">
        <v>1210</v>
      </c>
      <c r="S16" s="55">
        <v>0</v>
      </c>
      <c r="T16" s="55">
        <v>0</v>
      </c>
      <c r="U16" s="55">
        <v>0</v>
      </c>
      <c r="V16" s="55">
        <v>100</v>
      </c>
      <c r="W16" s="55">
        <v>0</v>
      </c>
      <c r="X16" s="55">
        <v>0</v>
      </c>
      <c r="Y16" s="55">
        <v>0</v>
      </c>
      <c r="Z16" s="55">
        <v>0</v>
      </c>
      <c r="AA16" s="55">
        <v>0</v>
      </c>
      <c r="AB16" s="53">
        <v>100</v>
      </c>
      <c r="AC16" s="97" t="s">
        <v>144</v>
      </c>
      <c r="AD16" s="55" t="s">
        <v>353</v>
      </c>
      <c r="AE16" s="55" t="s">
        <v>142</v>
      </c>
      <c r="AF16" s="55" t="s">
        <v>146</v>
      </c>
      <c r="AG16" s="55" t="s">
        <v>142</v>
      </c>
      <c r="AH16" s="55">
        <v>1</v>
      </c>
      <c r="AI16" s="55">
        <v>200</v>
      </c>
      <c r="AJ16" s="210">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87"/>
      <c r="AQ16" s="64" t="e">
        <f>WEEKDAY([12]!Sheet_1_Table_1_13[[#This Row],[Lesson 2
Date 
(DD-MMM-YYYY)]])</f>
        <v>#REF!</v>
      </c>
      <c r="AR16" s="65"/>
      <c r="AS16" s="66"/>
      <c r="AT16" s="126"/>
      <c r="AU16" s="63"/>
      <c r="AV16" s="64" t="e">
        <f>WEEKDAY([12]!Sheet_1_Table_1_13[[#This Row],[Lesson 3
Date 
(DD-MMM-YYYY)]])</f>
        <v>#REF!</v>
      </c>
      <c r="AW16" s="65"/>
      <c r="AX16" s="66"/>
      <c r="AY16" s="126"/>
      <c r="AZ16" s="98"/>
      <c r="BA16" s="64" t="e">
        <f>WEEKDAY([12]!Sheet_1_Table_1_13[[#This Row],[Lesson 4
Date 
(DD-MMM-YYYY)]])</f>
        <v>#REF!</v>
      </c>
      <c r="BB16" s="65"/>
      <c r="BC16" s="66"/>
      <c r="BD16" s="126"/>
      <c r="BE16" s="63"/>
      <c r="BF16" s="64" t="e">
        <f>WEEKDAY([12]!Sheet_1_Table_1_13[[#This Row],[Lesson 5
Date 
(DD-MMM-YYYY)]])</f>
        <v>#REF!</v>
      </c>
      <c r="BG16" s="65"/>
      <c r="BH16" s="66"/>
      <c r="BI16" s="126"/>
      <c r="BJ16" s="98"/>
      <c r="BK16" s="64" t="e">
        <f>WEEKDAY([12]!Sheet_1_Table_1_13[[#This Row],[Lesson 6
Date 
(DD-MMM-YYYY)]])</f>
        <v>#REF!</v>
      </c>
      <c r="BL16" s="65"/>
      <c r="BM16" s="66"/>
      <c r="BN16" s="99"/>
      <c r="BO16" s="190" t="s">
        <v>1211</v>
      </c>
      <c r="BP16" s="178" t="s">
        <v>1212</v>
      </c>
      <c r="BQ16" s="178" t="s">
        <v>521</v>
      </c>
      <c r="BR16" s="57" t="s">
        <v>1213</v>
      </c>
      <c r="BS16" s="52"/>
      <c r="BT16" s="56"/>
      <c r="BU16" s="56"/>
      <c r="BV16" s="70"/>
      <c r="BW16" s="60"/>
      <c r="BX16" s="71"/>
      <c r="BY16" s="56"/>
      <c r="BZ16" s="56"/>
      <c r="CA16" s="56"/>
      <c r="CB16" s="72"/>
      <c r="CC16" s="72"/>
      <c r="CD16" s="71"/>
      <c r="CE16" s="60" t="s">
        <v>1202</v>
      </c>
      <c r="CF16" s="164" t="s">
        <v>1203</v>
      </c>
      <c r="CG16" s="60" t="s">
        <v>1093</v>
      </c>
      <c r="CH16" s="71" t="s">
        <v>1094</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1214</v>
      </c>
      <c r="D17" s="50" t="s">
        <v>204</v>
      </c>
      <c r="E17" s="51">
        <v>5847</v>
      </c>
      <c r="F17" s="52" t="s">
        <v>134</v>
      </c>
      <c r="G17" s="53" t="s">
        <v>632</v>
      </c>
      <c r="H17" s="685" t="s">
        <v>1105</v>
      </c>
      <c r="I17" s="686" t="s">
        <v>1106</v>
      </c>
      <c r="J17" s="141" t="s">
        <v>1215</v>
      </c>
      <c r="K17" s="69" t="s">
        <v>1216</v>
      </c>
      <c r="L17" s="55"/>
      <c r="M17" s="434" t="s">
        <v>1217</v>
      </c>
      <c r="N17" s="57" t="s">
        <v>1218</v>
      </c>
      <c r="O17" s="58" t="s">
        <v>146</v>
      </c>
      <c r="P17" s="59" t="s">
        <v>146</v>
      </c>
      <c r="Q17" s="60" t="s">
        <v>1088</v>
      </c>
      <c r="R17" s="61" t="s">
        <v>1210</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10">
        <f>Sheet_1_Table_1_138[[#This Row],[ILP Units Per Session]]*Sheet_1_Table_1_138[[#This Row],[Quota]]</f>
        <v>60</v>
      </c>
      <c r="AK17" s="63">
        <v>46336</v>
      </c>
      <c r="AL17" s="64">
        <f>WEEKDAY(Sheet_1_Table_1_138[[#This Row],[Lesson 1 
Date 
(DD-MMM-YYYY)]])</f>
        <v>3</v>
      </c>
      <c r="AM17" s="65">
        <v>0.60416666666666663</v>
      </c>
      <c r="AN17" s="66">
        <v>0.66666666666666663</v>
      </c>
      <c r="AO17" s="689" t="s">
        <v>1219</v>
      </c>
      <c r="AP17" s="690"/>
      <c r="AQ17" s="64">
        <f>WEEKDAY(Sheet_1_Table_1_138[[#This Row],[Lesson 2
Date 
(DD-MMM-YYYY)]])</f>
        <v>7</v>
      </c>
      <c r="AR17" s="65"/>
      <c r="AS17" s="66"/>
      <c r="AT17" s="66"/>
      <c r="AU17" s="63"/>
      <c r="AV17" s="64" t="e">
        <f>WEEKDAY([12]!Sheet_1_Table_1_13[[#This Row],[Lesson 3
Date 
(DD-MMM-YYYY)]])</f>
        <v>#REF!</v>
      </c>
      <c r="AW17" s="65"/>
      <c r="AX17" s="66"/>
      <c r="AY17" s="67"/>
      <c r="AZ17" s="68"/>
      <c r="BA17" s="64" t="e">
        <f>WEEKDAY([12]!Sheet_1_Table_1_13[[#This Row],[Lesson 4
Date 
(DD-MMM-YYYY)]])</f>
        <v>#REF!</v>
      </c>
      <c r="BB17" s="65"/>
      <c r="BC17" s="66"/>
      <c r="BD17" s="66"/>
      <c r="BE17" s="63"/>
      <c r="BF17" s="64" t="e">
        <f>WEEKDAY([12]!Sheet_1_Table_1_13[[#This Row],[Lesson 5
Date 
(DD-MMM-YYYY)]])</f>
        <v>#REF!</v>
      </c>
      <c r="BG17" s="65"/>
      <c r="BH17" s="66"/>
      <c r="BI17" s="67"/>
      <c r="BJ17" s="68"/>
      <c r="BK17" s="64" t="e">
        <f>WEEKDAY([12]!Sheet_1_Table_1_13[[#This Row],[Lesson 6
Date 
(DD-MMM-YYYY)]])</f>
        <v>#REF!</v>
      </c>
      <c r="BL17" s="65"/>
      <c r="BM17" s="66"/>
      <c r="BN17" s="66"/>
      <c r="BO17" s="54" t="s">
        <v>163</v>
      </c>
      <c r="BP17" s="83" t="s">
        <v>1220</v>
      </c>
      <c r="BQ17" s="55" t="s">
        <v>944</v>
      </c>
      <c r="BR17" s="57" t="s">
        <v>1221</v>
      </c>
      <c r="BS17" s="52" t="s">
        <v>291</v>
      </c>
      <c r="BT17" s="55" t="s">
        <v>1222</v>
      </c>
      <c r="BU17" s="55" t="s">
        <v>944</v>
      </c>
      <c r="BV17" s="57" t="s">
        <v>1221</v>
      </c>
      <c r="BW17" s="60"/>
      <c r="BX17" s="71"/>
      <c r="BY17" s="56"/>
      <c r="BZ17" s="56"/>
      <c r="CA17" s="56"/>
      <c r="CB17" s="72"/>
      <c r="CC17" s="72"/>
      <c r="CD17" s="71"/>
      <c r="CE17" s="60" t="s">
        <v>1202</v>
      </c>
      <c r="CF17" s="164" t="s">
        <v>1203</v>
      </c>
      <c r="CG17" s="60" t="s">
        <v>1093</v>
      </c>
      <c r="CH17" s="71" t="s">
        <v>1094</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1223</v>
      </c>
      <c r="D18" s="50" t="s">
        <v>204</v>
      </c>
      <c r="E18" s="51">
        <v>5849</v>
      </c>
      <c r="F18" s="52" t="s">
        <v>134</v>
      </c>
      <c r="G18" s="53" t="s">
        <v>632</v>
      </c>
      <c r="H18" s="685" t="s">
        <v>1194</v>
      </c>
      <c r="I18" s="686" t="s">
        <v>1195</v>
      </c>
      <c r="J18" s="141" t="s">
        <v>1224</v>
      </c>
      <c r="K18" s="69" t="s">
        <v>1225</v>
      </c>
      <c r="L18" s="55"/>
      <c r="M18" s="56" t="s">
        <v>1226</v>
      </c>
      <c r="N18" s="57" t="s">
        <v>1227</v>
      </c>
      <c r="O18" s="58" t="s">
        <v>146</v>
      </c>
      <c r="P18" s="59" t="s">
        <v>146</v>
      </c>
      <c r="Q18" s="60" t="s">
        <v>1088</v>
      </c>
      <c r="R18" s="61" t="s">
        <v>1210</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10">
        <f>Sheet_1_Table_1_138[[#This Row],[ILP Units Per Session]]*Sheet_1_Table_1_138[[#This Row],[Quota]]</f>
        <v>30</v>
      </c>
      <c r="AK18" s="63">
        <v>46342</v>
      </c>
      <c r="AL18" s="64">
        <f>WEEKDAY(Sheet_1_Table_1_138[[#This Row],[Lesson 1 
Date 
(DD-MMM-YYYY)]])</f>
        <v>2</v>
      </c>
      <c r="AM18" s="65">
        <v>0.58333333333333337</v>
      </c>
      <c r="AN18" s="66">
        <v>0.66666666666666663</v>
      </c>
      <c r="AO18" s="689" t="s">
        <v>379</v>
      </c>
      <c r="AP18" s="690"/>
      <c r="AQ18" s="64">
        <f>WEEKDAY(Sheet_1_Table_1_138[[#This Row],[Lesson 2
Date 
(DD-MMM-YYYY)]])</f>
        <v>7</v>
      </c>
      <c r="AR18" s="65"/>
      <c r="AS18" s="215"/>
      <c r="AT18" s="66"/>
      <c r="AU18" s="63"/>
      <c r="AV18" s="64" t="e">
        <f>WEEKDAY([12]!Sheet_1_Table_1_13[[#This Row],[Lesson 3
Date 
(DD-MMM-YYYY)]])</f>
        <v>#REF!</v>
      </c>
      <c r="AW18" s="65"/>
      <c r="AX18" s="66"/>
      <c r="AY18" s="67"/>
      <c r="AZ18" s="68"/>
      <c r="BA18" s="64" t="e">
        <f>WEEKDAY([12]!Sheet_1_Table_1_13[[#This Row],[Lesson 4
Date 
(DD-MMM-YYYY)]])</f>
        <v>#REF!</v>
      </c>
      <c r="BB18" s="65"/>
      <c r="BC18" s="66"/>
      <c r="BD18" s="66"/>
      <c r="BE18" s="63"/>
      <c r="BF18" s="64" t="e">
        <f>WEEKDAY([12]!Sheet_1_Table_1_13[[#This Row],[Lesson 5
Date 
(DD-MMM-YYYY)]])</f>
        <v>#REF!</v>
      </c>
      <c r="BG18" s="65"/>
      <c r="BH18" s="66"/>
      <c r="BI18" s="67"/>
      <c r="BJ18" s="68"/>
      <c r="BK18" s="64" t="e">
        <f>WEEKDAY([12]!Sheet_1_Table_1_13[[#This Row],[Lesson 6
Date 
(DD-MMM-YYYY)]])</f>
        <v>#REF!</v>
      </c>
      <c r="BL18" s="65"/>
      <c r="BM18" s="66"/>
      <c r="BN18" s="66"/>
      <c r="BO18" s="54" t="s">
        <v>163</v>
      </c>
      <c r="BP18" s="55" t="s">
        <v>1228</v>
      </c>
      <c r="BQ18" s="55" t="s">
        <v>1229</v>
      </c>
      <c r="BR18" s="57" t="s">
        <v>2223</v>
      </c>
      <c r="BS18" s="52" t="s">
        <v>287</v>
      </c>
      <c r="BT18" s="55" t="s">
        <v>1230</v>
      </c>
      <c r="BU18" s="55" t="s">
        <v>1231</v>
      </c>
      <c r="BV18" s="154" t="s">
        <v>1232</v>
      </c>
      <c r="BW18" s="60"/>
      <c r="BX18" s="71"/>
      <c r="BY18" s="56"/>
      <c r="BZ18" s="56"/>
      <c r="CA18" s="56"/>
      <c r="CB18" s="72"/>
      <c r="CC18" s="72"/>
      <c r="CD18" s="71"/>
      <c r="CE18" s="60" t="s">
        <v>1202</v>
      </c>
      <c r="CF18" s="164" t="s">
        <v>1203</v>
      </c>
      <c r="CG18" s="60" t="s">
        <v>1093</v>
      </c>
      <c r="CH18" s="71" t="s">
        <v>1094</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1233</v>
      </c>
      <c r="D19" s="50" t="s">
        <v>204</v>
      </c>
      <c r="E19" s="51">
        <v>5850</v>
      </c>
      <c r="F19" s="52" t="s">
        <v>134</v>
      </c>
      <c r="G19" s="53" t="s">
        <v>632</v>
      </c>
      <c r="H19" s="685" t="s">
        <v>1105</v>
      </c>
      <c r="I19" s="686" t="s">
        <v>1106</v>
      </c>
      <c r="J19" s="695" t="s">
        <v>1234</v>
      </c>
      <c r="K19" s="696" t="s">
        <v>1235</v>
      </c>
      <c r="L19" s="55"/>
      <c r="M19" s="434" t="s">
        <v>1236</v>
      </c>
      <c r="N19" s="57" t="s">
        <v>1237</v>
      </c>
      <c r="O19" s="78" t="s">
        <v>146</v>
      </c>
      <c r="P19" s="59" t="s">
        <v>146</v>
      </c>
      <c r="Q19" s="222" t="s">
        <v>1088</v>
      </c>
      <c r="R19" s="61" t="s">
        <v>1210</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10">
        <f>Sheet_1_Table_1_138[[#This Row],[ILP Units Per Session]]*Sheet_1_Table_1_138[[#This Row],[Quota]]</f>
        <v>50</v>
      </c>
      <c r="AK19" s="63">
        <v>46351</v>
      </c>
      <c r="AL19" s="64">
        <f>WEEKDAY(Sheet_1_Table_1_138[[#This Row],[Lesson 1 
Date 
(DD-MMM-YYYY)]])</f>
        <v>4</v>
      </c>
      <c r="AM19" s="65">
        <v>0.60416666666666663</v>
      </c>
      <c r="AN19" s="66">
        <v>0.64583333333333337</v>
      </c>
      <c r="AO19" s="689" t="s">
        <v>458</v>
      </c>
      <c r="AP19" s="690"/>
      <c r="AQ19" s="64">
        <f>WEEKDAY(Sheet_1_Table_1_138[[#This Row],[Lesson 2
Date 
(DD-MMM-YYYY)]])</f>
        <v>7</v>
      </c>
      <c r="AR19" s="65"/>
      <c r="AS19" s="66"/>
      <c r="AT19" s="66"/>
      <c r="AU19" s="63"/>
      <c r="AV19" s="64" t="e">
        <f>WEEKDAY([12]!Sheet_1_Table_1_13[[#This Row],[Lesson 3
Date 
(DD-MMM-YYYY)]])</f>
        <v>#REF!</v>
      </c>
      <c r="AW19" s="65"/>
      <c r="AX19" s="66"/>
      <c r="AY19" s="67"/>
      <c r="AZ19" s="68"/>
      <c r="BA19" s="64" t="e">
        <f>WEEKDAY([12]!Sheet_1_Table_1_13[[#This Row],[Lesson 4
Date 
(DD-MMM-YYYY)]])</f>
        <v>#REF!</v>
      </c>
      <c r="BB19" s="65"/>
      <c r="BC19" s="66"/>
      <c r="BD19" s="66"/>
      <c r="BE19" s="63"/>
      <c r="BF19" s="64" t="e">
        <f>WEEKDAY([12]!Sheet_1_Table_1_13[[#This Row],[Lesson 5
Date 
(DD-MMM-YYYY)]])</f>
        <v>#REF!</v>
      </c>
      <c r="BG19" s="65"/>
      <c r="BH19" s="66"/>
      <c r="BI19" s="67"/>
      <c r="BJ19" s="68"/>
      <c r="BK19" s="64" t="e">
        <f>WEEKDAY([12]!Sheet_1_Table_1_13[[#This Row],[Lesson 6
Date 
(DD-MMM-YYYY)]])</f>
        <v>#REF!</v>
      </c>
      <c r="BL19" s="65"/>
      <c r="BM19" s="66"/>
      <c r="BN19" s="66"/>
      <c r="BO19" s="54" t="s">
        <v>163</v>
      </c>
      <c r="BP19" s="83" t="s">
        <v>1220</v>
      </c>
      <c r="BQ19" s="55" t="s">
        <v>944</v>
      </c>
      <c r="BR19" s="57" t="s">
        <v>1221</v>
      </c>
      <c r="BS19" s="52"/>
      <c r="BT19" s="56"/>
      <c r="BU19" s="56"/>
      <c r="BV19" s="70"/>
      <c r="BW19" s="60"/>
      <c r="BX19" s="71"/>
      <c r="BY19" s="56"/>
      <c r="BZ19" s="56"/>
      <c r="CA19" s="56"/>
      <c r="CB19" s="72"/>
      <c r="CC19" s="72"/>
      <c r="CD19" s="71"/>
      <c r="CE19" s="60" t="s">
        <v>1202</v>
      </c>
      <c r="CF19" s="164" t="s">
        <v>1203</v>
      </c>
      <c r="CG19" s="60" t="s">
        <v>1093</v>
      </c>
      <c r="CH19" s="71" t="s">
        <v>1094</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1238</v>
      </c>
      <c r="D20" s="50" t="s">
        <v>133</v>
      </c>
      <c r="E20" s="51">
        <v>5851</v>
      </c>
      <c r="F20" s="52" t="s">
        <v>134</v>
      </c>
      <c r="G20" s="53" t="s">
        <v>632</v>
      </c>
      <c r="H20" s="173" t="s">
        <v>1165</v>
      </c>
      <c r="I20" s="686" t="s">
        <v>1166</v>
      </c>
      <c r="J20" s="141"/>
      <c r="K20" s="69" t="s">
        <v>1239</v>
      </c>
      <c r="L20" s="55"/>
      <c r="M20" s="434" t="s">
        <v>1240</v>
      </c>
      <c r="N20" s="57" t="s">
        <v>1241</v>
      </c>
      <c r="O20" s="78" t="s">
        <v>142</v>
      </c>
      <c r="P20" s="59" t="s">
        <v>142</v>
      </c>
      <c r="Q20" s="222" t="s">
        <v>1088</v>
      </c>
      <c r="R20" s="77" t="s">
        <v>1210</v>
      </c>
      <c r="S20" s="55">
        <v>0</v>
      </c>
      <c r="T20" s="55">
        <v>0</v>
      </c>
      <c r="U20" s="55">
        <v>0</v>
      </c>
      <c r="V20" s="55">
        <v>100</v>
      </c>
      <c r="W20" s="55">
        <v>0</v>
      </c>
      <c r="X20" s="55">
        <v>0</v>
      </c>
      <c r="Y20" s="55">
        <v>0</v>
      </c>
      <c r="Z20" s="55">
        <v>0</v>
      </c>
      <c r="AA20" s="55">
        <v>0</v>
      </c>
      <c r="AB20" s="53">
        <v>100</v>
      </c>
      <c r="AC20" s="173" t="s">
        <v>1242</v>
      </c>
      <c r="AD20" s="55" t="s">
        <v>190</v>
      </c>
      <c r="AE20" s="55" t="s">
        <v>146</v>
      </c>
      <c r="AF20" s="55" t="s">
        <v>142</v>
      </c>
      <c r="AG20" s="55" t="s">
        <v>142</v>
      </c>
      <c r="AH20" s="55">
        <v>4</v>
      </c>
      <c r="AI20" s="55">
        <v>30</v>
      </c>
      <c r="AJ20" s="210">
        <f>Sheet_1_Table_1_138[[#This Row],[ILP Units Per Session]]*Sheet_1_Table_1_138[[#This Row],[Quota]]</f>
        <v>120</v>
      </c>
      <c r="AK20" s="63">
        <v>46324</v>
      </c>
      <c r="AL20" s="64">
        <f>WEEKDAY(Sheet_1_Table_1_138[[#This Row],[Lesson 1 
Date 
(DD-MMM-YYYY)]])</f>
        <v>5</v>
      </c>
      <c r="AM20" s="65">
        <v>0.77083333333333337</v>
      </c>
      <c r="AN20" s="65">
        <v>0.85416666666666663</v>
      </c>
      <c r="AO20" s="689" t="s">
        <v>379</v>
      </c>
      <c r="AP20" s="690">
        <v>46331</v>
      </c>
      <c r="AQ20" s="64">
        <f>WEEKDAY(Sheet_1_Table_1_138[[#This Row],[Lesson 2
Date 
(DD-MMM-YYYY)]])</f>
        <v>5</v>
      </c>
      <c r="AR20" s="65">
        <v>0.77083333333333337</v>
      </c>
      <c r="AS20" s="65">
        <v>0.85416666666666663</v>
      </c>
      <c r="AT20" s="697" t="s">
        <v>379</v>
      </c>
      <c r="AU20" s="63"/>
      <c r="AV20" s="64" t="e">
        <f>WEEKDAY([12]!Sheet_1_Table_1_13[[#This Row],[Lesson 3
Date 
(DD-MMM-YYYY)]])</f>
        <v>#REF!</v>
      </c>
      <c r="AW20" s="65"/>
      <c r="AX20" s="66"/>
      <c r="AY20" s="67"/>
      <c r="AZ20" s="68"/>
      <c r="BA20" s="64" t="e">
        <f>WEEKDAY([12]!Sheet_1_Table_1_13[[#This Row],[Lesson 4
Date 
(DD-MMM-YYYY)]])</f>
        <v>#REF!</v>
      </c>
      <c r="BB20" s="65"/>
      <c r="BC20" s="66"/>
      <c r="BD20" s="66"/>
      <c r="BE20" s="63"/>
      <c r="BF20" s="64" t="e">
        <f>WEEKDAY([12]!Sheet_1_Table_1_13[[#This Row],[Lesson 5
Date 
(DD-MMM-YYYY)]])</f>
        <v>#REF!</v>
      </c>
      <c r="BG20" s="65"/>
      <c r="BH20" s="66"/>
      <c r="BI20" s="67"/>
      <c r="BJ20" s="68"/>
      <c r="BK20" s="64" t="e">
        <f>WEEKDAY([12]!Sheet_1_Table_1_13[[#This Row],[Lesson 6
Date 
(DD-MMM-YYYY)]])</f>
        <v>#REF!</v>
      </c>
      <c r="BL20" s="65"/>
      <c r="BM20" s="66"/>
      <c r="BN20" s="66"/>
      <c r="BO20" s="54" t="s">
        <v>163</v>
      </c>
      <c r="BP20" s="55" t="s">
        <v>1243</v>
      </c>
      <c r="BQ20" s="55" t="s">
        <v>440</v>
      </c>
      <c r="BR20" s="57" t="s">
        <v>1244</v>
      </c>
      <c r="BS20" s="52"/>
      <c r="BT20" s="56"/>
      <c r="BU20" s="56"/>
      <c r="BV20" s="70"/>
      <c r="BW20" s="60"/>
      <c r="BX20" s="71"/>
      <c r="BY20" s="56"/>
      <c r="BZ20" s="56"/>
      <c r="CA20" s="56"/>
      <c r="CB20" s="72"/>
      <c r="CC20" s="72"/>
      <c r="CD20" s="71"/>
      <c r="CE20" s="60" t="s">
        <v>1202</v>
      </c>
      <c r="CF20" s="164" t="s">
        <v>1203</v>
      </c>
      <c r="CG20" s="60" t="s">
        <v>1093</v>
      </c>
      <c r="CH20" s="71" t="s">
        <v>1094</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1245</v>
      </c>
      <c r="D21" s="50" t="s">
        <v>133</v>
      </c>
      <c r="E21" s="51">
        <v>5852</v>
      </c>
      <c r="F21" s="52" t="s">
        <v>134</v>
      </c>
      <c r="G21" s="53" t="s">
        <v>632</v>
      </c>
      <c r="H21" s="173" t="s">
        <v>1165</v>
      </c>
      <c r="I21" s="686" t="s">
        <v>1166</v>
      </c>
      <c r="J21" s="141"/>
      <c r="K21" s="69" t="s">
        <v>1246</v>
      </c>
      <c r="L21" s="55"/>
      <c r="M21" s="434" t="s">
        <v>1247</v>
      </c>
      <c r="N21" s="57" t="s">
        <v>1248</v>
      </c>
      <c r="O21" s="78" t="s">
        <v>142</v>
      </c>
      <c r="P21" s="59" t="s">
        <v>142</v>
      </c>
      <c r="Q21" s="222" t="s">
        <v>1088</v>
      </c>
      <c r="R21" s="77" t="s">
        <v>1210</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10">
        <f>Sheet_1_Table_1_138[[#This Row],[ILP Units Per Session]]*Sheet_1_Table_1_138[[#This Row],[Quota]]</f>
        <v>60</v>
      </c>
      <c r="AK21" s="438">
        <v>46338</v>
      </c>
      <c r="AL21" s="342">
        <f>WEEKDAY(Sheet_1_Table_1_138[[#This Row],[Lesson 1 
Date 
(DD-MMM-YYYY)]])</f>
        <v>5</v>
      </c>
      <c r="AM21" s="439">
        <v>0.58333333333333337</v>
      </c>
      <c r="AN21" s="440">
        <v>0.66666666666666663</v>
      </c>
      <c r="AO21" s="689" t="s">
        <v>379</v>
      </c>
      <c r="AP21" s="690"/>
      <c r="AQ21" s="64">
        <f>WEEKDAY(Sheet_1_Table_1_138[[#This Row],[Lesson 2
Date 
(DD-MMM-YYYY)]])</f>
        <v>7</v>
      </c>
      <c r="AR21" s="65"/>
      <c r="AS21" s="66"/>
      <c r="AT21" s="66"/>
      <c r="AU21" s="63"/>
      <c r="AV21" s="165" t="e">
        <f>WEEKDAY([12]!Sheet_1_Table_1_13[[#This Row],[Lesson 3
Date 
(DD-MMM-YYYY)]])</f>
        <v>#REF!</v>
      </c>
      <c r="AW21" s="65"/>
      <c r="AX21" s="66"/>
      <c r="AY21" s="67"/>
      <c r="AZ21" s="68"/>
      <c r="BA21" s="64" t="e">
        <f>WEEKDAY([12]!Sheet_1_Table_1_13[[#This Row],[Lesson 4
Date 
(DD-MMM-YYYY)]])</f>
        <v>#REF!</v>
      </c>
      <c r="BB21" s="65"/>
      <c r="BC21" s="66"/>
      <c r="BD21" s="66"/>
      <c r="BE21" s="63"/>
      <c r="BF21" s="165" t="e">
        <f>WEEKDAY([12]!Sheet_1_Table_1_13[[#This Row],[Lesson 5
Date 
(DD-MMM-YYYY)]])</f>
        <v>#REF!</v>
      </c>
      <c r="BG21" s="65"/>
      <c r="BH21" s="66"/>
      <c r="BI21" s="67"/>
      <c r="BJ21" s="68"/>
      <c r="BK21" s="165" t="e">
        <f>WEEKDAY([12]!Sheet_1_Table_1_13[[#This Row],[Lesson 6
Date 
(DD-MMM-YYYY)]])</f>
        <v>#REF!</v>
      </c>
      <c r="BL21" s="65"/>
      <c r="BM21" s="66"/>
      <c r="BN21" s="66"/>
      <c r="BO21" s="190" t="s">
        <v>1249</v>
      </c>
      <c r="BP21" s="178" t="s">
        <v>1250</v>
      </c>
      <c r="BQ21" s="178" t="s">
        <v>1251</v>
      </c>
      <c r="BR21" s="180" t="s">
        <v>1252</v>
      </c>
      <c r="BS21" s="52"/>
      <c r="BT21" s="56"/>
      <c r="BU21" s="56"/>
      <c r="BV21" s="70"/>
      <c r="BW21" s="60"/>
      <c r="BX21" s="71"/>
      <c r="BY21" s="56"/>
      <c r="BZ21" s="56"/>
      <c r="CA21" s="56"/>
      <c r="CB21" s="72"/>
      <c r="CC21" s="72"/>
      <c r="CD21" s="71"/>
      <c r="CE21" s="60" t="s">
        <v>1202</v>
      </c>
      <c r="CF21" s="164" t="s">
        <v>1203</v>
      </c>
      <c r="CG21" s="60" t="s">
        <v>1093</v>
      </c>
      <c r="CH21" s="71" t="s">
        <v>1094</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1253</v>
      </c>
      <c r="D22" s="50" t="s">
        <v>133</v>
      </c>
      <c r="E22" s="51">
        <v>5922</v>
      </c>
      <c r="F22" s="606" t="s">
        <v>134</v>
      </c>
      <c r="G22" s="549" t="s">
        <v>632</v>
      </c>
      <c r="H22" s="607" t="s">
        <v>648</v>
      </c>
      <c r="I22" s="607" t="s">
        <v>649</v>
      </c>
      <c r="J22" s="698" t="s">
        <v>1254</v>
      </c>
      <c r="K22" s="608" t="s">
        <v>1255</v>
      </c>
      <c r="L22" s="55"/>
      <c r="M22" s="56" t="s">
        <v>1256</v>
      </c>
      <c r="N22" s="57" t="s">
        <v>1257</v>
      </c>
      <c r="O22" s="58" t="s">
        <v>142</v>
      </c>
      <c r="P22" s="59" t="s">
        <v>142</v>
      </c>
      <c r="Q22" s="60" t="s">
        <v>1088</v>
      </c>
      <c r="R22" s="61" t="s">
        <v>1210</v>
      </c>
      <c r="S22" s="55">
        <v>0</v>
      </c>
      <c r="T22" s="55">
        <v>0</v>
      </c>
      <c r="U22" s="55">
        <v>0</v>
      </c>
      <c r="V22" s="55">
        <v>100</v>
      </c>
      <c r="W22" s="55">
        <v>0</v>
      </c>
      <c r="X22" s="55">
        <v>0</v>
      </c>
      <c r="Y22" s="55">
        <v>0</v>
      </c>
      <c r="Z22" s="55">
        <v>0</v>
      </c>
      <c r="AA22" s="55">
        <v>0</v>
      </c>
      <c r="AB22" s="53">
        <v>100</v>
      </c>
      <c r="AC22" s="52" t="s">
        <v>144</v>
      </c>
      <c r="AD22" s="55" t="s">
        <v>353</v>
      </c>
      <c r="AE22" s="55" t="s">
        <v>142</v>
      </c>
      <c r="AF22" s="55" t="s">
        <v>146</v>
      </c>
      <c r="AG22" s="55" t="s">
        <v>142</v>
      </c>
      <c r="AH22" s="55">
        <v>1</v>
      </c>
      <c r="AI22" s="55">
        <v>200</v>
      </c>
      <c r="AJ22" s="62">
        <v>200</v>
      </c>
      <c r="AK22" s="63">
        <v>46279</v>
      </c>
      <c r="AL22" s="342">
        <f>WEEKDAY(Sheet_1_Table_1_138[[#This Row],[Lesson 1 
Date 
(DD-MMM-YYYY)]])</f>
        <v>2</v>
      </c>
      <c r="AM22" s="65">
        <v>0.625</v>
      </c>
      <c r="AN22" s="66">
        <v>0.66666666666666663</v>
      </c>
      <c r="AO22" s="67" t="s">
        <v>639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1258</v>
      </c>
      <c r="BQ22" s="55" t="s">
        <v>440</v>
      </c>
      <c r="BR22" s="57" t="s">
        <v>1259</v>
      </c>
      <c r="BS22" s="52" t="s">
        <v>163</v>
      </c>
      <c r="BT22" s="56" t="s">
        <v>1260</v>
      </c>
      <c r="BU22" s="56" t="s">
        <v>165</v>
      </c>
      <c r="BV22" s="70" t="s">
        <v>1261</v>
      </c>
      <c r="BW22" s="60"/>
      <c r="BX22" s="71"/>
      <c r="BY22" s="56" t="s">
        <v>149</v>
      </c>
      <c r="BZ22" s="56"/>
      <c r="CA22" s="56" t="s">
        <v>149</v>
      </c>
      <c r="CB22" s="517" t="s">
        <v>1262</v>
      </c>
      <c r="CC22" s="72" t="s">
        <v>1263</v>
      </c>
      <c r="CD22" s="71">
        <v>96784488</v>
      </c>
      <c r="CE22" s="222" t="s">
        <v>643</v>
      </c>
      <c r="CF22" s="474" t="s">
        <v>644</v>
      </c>
      <c r="CG22" s="56" t="s">
        <v>657</v>
      </c>
      <c r="CH22" s="301" t="s">
        <v>658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9" t="s">
        <v>142</v>
      </c>
      <c r="DJ22" s="610"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1264</v>
      </c>
      <c r="D23" s="50" t="s">
        <v>133</v>
      </c>
      <c r="E23" s="51">
        <v>5928</v>
      </c>
      <c r="F23" s="606" t="s">
        <v>134</v>
      </c>
      <c r="G23" s="549" t="s">
        <v>632</v>
      </c>
      <c r="H23" s="607" t="s">
        <v>633</v>
      </c>
      <c r="I23" s="607" t="s">
        <v>634</v>
      </c>
      <c r="J23" s="698" t="s">
        <v>1265</v>
      </c>
      <c r="K23" s="608" t="s">
        <v>1266</v>
      </c>
      <c r="L23" s="55"/>
      <c r="M23" s="56" t="s">
        <v>1267</v>
      </c>
      <c r="N23" s="57" t="s">
        <v>1268</v>
      </c>
      <c r="O23" s="58" t="s">
        <v>142</v>
      </c>
      <c r="P23" s="59" t="s">
        <v>142</v>
      </c>
      <c r="Q23" s="60" t="s">
        <v>1088</v>
      </c>
      <c r="R23" s="61" t="s">
        <v>1210</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42">
        <f>WEEKDAY(Sheet_1_Table_1_138[[#This Row],[Lesson 1 
Date 
(DD-MMM-YYYY)]])</f>
        <v>3</v>
      </c>
      <c r="AM23" s="439">
        <v>0.60416666666666663</v>
      </c>
      <c r="AN23" s="440">
        <v>0.66666666666666663</v>
      </c>
      <c r="AO23" s="441" t="s">
        <v>379</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1269</v>
      </c>
      <c r="BQ23" s="55" t="s">
        <v>697</v>
      </c>
      <c r="BR23" s="57" t="s">
        <v>1270</v>
      </c>
      <c r="BS23" s="52"/>
      <c r="BT23" s="56"/>
      <c r="BU23" s="56"/>
      <c r="BV23" s="70"/>
      <c r="BW23" s="60"/>
      <c r="BX23" s="71"/>
      <c r="BY23" s="56" t="s">
        <v>184</v>
      </c>
      <c r="BZ23" s="56"/>
      <c r="CA23" s="56" t="s">
        <v>184</v>
      </c>
      <c r="CB23" s="72"/>
      <c r="CC23" s="72"/>
      <c r="CD23" s="71"/>
      <c r="CE23" s="60" t="s">
        <v>645</v>
      </c>
      <c r="CF23" s="164" t="s">
        <v>646</v>
      </c>
      <c r="CG23" s="56" t="s">
        <v>643</v>
      </c>
      <c r="CH23" s="301" t="s">
        <v>644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9" t="s">
        <v>142</v>
      </c>
      <c r="DJ23" s="610"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1271</v>
      </c>
      <c r="D24" s="50" t="s">
        <v>133</v>
      </c>
      <c r="E24" s="51">
        <v>5929</v>
      </c>
      <c r="F24" s="606" t="s">
        <v>134</v>
      </c>
      <c r="G24" s="549" t="s">
        <v>632</v>
      </c>
      <c r="H24" s="607" t="s">
        <v>648</v>
      </c>
      <c r="I24" s="607" t="s">
        <v>649</v>
      </c>
      <c r="J24" s="698" t="s">
        <v>1272</v>
      </c>
      <c r="K24" s="608" t="s">
        <v>1273</v>
      </c>
      <c r="L24" s="55"/>
      <c r="M24" s="56" t="s">
        <v>1274</v>
      </c>
      <c r="N24" s="57" t="s">
        <v>1275</v>
      </c>
      <c r="O24" s="58" t="s">
        <v>142</v>
      </c>
      <c r="P24" s="59" t="s">
        <v>142</v>
      </c>
      <c r="Q24" s="60" t="s">
        <v>1088</v>
      </c>
      <c r="R24" s="77" t="s">
        <v>1210</v>
      </c>
      <c r="S24" s="55">
        <v>25</v>
      </c>
      <c r="T24" s="55">
        <v>0</v>
      </c>
      <c r="U24" s="55">
        <v>0</v>
      </c>
      <c r="V24" s="55">
        <v>50</v>
      </c>
      <c r="W24" s="55">
        <v>0</v>
      </c>
      <c r="X24" s="55">
        <v>0</v>
      </c>
      <c r="Y24" s="55">
        <v>0</v>
      </c>
      <c r="Z24" s="55">
        <v>0</v>
      </c>
      <c r="AA24" s="55">
        <v>25</v>
      </c>
      <c r="AB24" s="53">
        <v>100</v>
      </c>
      <c r="AC24" s="52" t="s">
        <v>654</v>
      </c>
      <c r="AD24" s="55" t="s">
        <v>190</v>
      </c>
      <c r="AE24" s="55" t="s">
        <v>146</v>
      </c>
      <c r="AF24" s="55" t="s">
        <v>142</v>
      </c>
      <c r="AG24" s="55" t="s">
        <v>142</v>
      </c>
      <c r="AH24" s="55">
        <v>12</v>
      </c>
      <c r="AI24" s="55">
        <v>30</v>
      </c>
      <c r="AJ24" s="62">
        <v>360</v>
      </c>
      <c r="AK24" s="63">
        <v>46305</v>
      </c>
      <c r="AL24" s="342">
        <f>WEEKDAY(Sheet_1_Table_1_138[[#This Row],[Lesson 1 
Date 
(DD-MMM-YYYY)]])</f>
        <v>7</v>
      </c>
      <c r="AM24" s="65">
        <v>0.41666666666666669</v>
      </c>
      <c r="AN24" s="66">
        <v>0.70833333333333337</v>
      </c>
      <c r="AO24" s="441" t="s">
        <v>1276</v>
      </c>
      <c r="AP24" s="68">
        <v>46312</v>
      </c>
      <c r="AQ24" s="342">
        <v>7</v>
      </c>
      <c r="AR24" s="65">
        <v>0.41666666666666669</v>
      </c>
      <c r="AS24" s="66">
        <v>0.70833333333333337</v>
      </c>
      <c r="AT24" s="441" t="s">
        <v>1276</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1277</v>
      </c>
      <c r="BQ24" s="55" t="s">
        <v>355</v>
      </c>
      <c r="BR24" s="57"/>
      <c r="BS24" s="52"/>
      <c r="BT24" s="56"/>
      <c r="BU24" s="56"/>
      <c r="BV24" s="70"/>
      <c r="BW24" s="60"/>
      <c r="BX24" s="71"/>
      <c r="BY24" s="56" t="s">
        <v>184</v>
      </c>
      <c r="BZ24" s="56"/>
      <c r="CA24" s="56" t="s">
        <v>184</v>
      </c>
      <c r="CB24" s="72"/>
      <c r="CC24" s="72"/>
      <c r="CD24" s="71"/>
      <c r="CE24" s="60" t="s">
        <v>657</v>
      </c>
      <c r="CF24" s="164" t="s">
        <v>658</v>
      </c>
      <c r="CG24" s="56" t="s">
        <v>643</v>
      </c>
      <c r="CH24" s="301" t="s">
        <v>644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9" t="s">
        <v>142</v>
      </c>
      <c r="DJ24" s="610"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1278</v>
      </c>
      <c r="D25" s="50" t="s">
        <v>133</v>
      </c>
      <c r="E25" s="127">
        <v>5934</v>
      </c>
      <c r="F25" s="699" t="s">
        <v>134</v>
      </c>
      <c r="G25" s="700" t="s">
        <v>632</v>
      </c>
      <c r="H25" s="608" t="s">
        <v>648</v>
      </c>
      <c r="I25" s="701" t="s">
        <v>649</v>
      </c>
      <c r="J25" s="698" t="s">
        <v>1279</v>
      </c>
      <c r="K25" s="608" t="s">
        <v>1280</v>
      </c>
      <c r="L25" s="55"/>
      <c r="M25" s="56" t="s">
        <v>1281</v>
      </c>
      <c r="N25" s="57" t="s">
        <v>1282</v>
      </c>
      <c r="O25" s="58" t="s">
        <v>142</v>
      </c>
      <c r="P25" s="59" t="s">
        <v>142</v>
      </c>
      <c r="Q25" s="60" t="s">
        <v>1088</v>
      </c>
      <c r="R25" s="61" t="s">
        <v>1210</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42">
        <f>WEEKDAY(Sheet_1_Table_1_138[[#This Row],[Lesson 1 
Date 
(DD-MMM-YYYY)]])</f>
        <v>2</v>
      </c>
      <c r="AM25" s="65">
        <v>0.625</v>
      </c>
      <c r="AN25" s="66">
        <v>0.70833333333333337</v>
      </c>
      <c r="AO25" s="441" t="s">
        <v>1283</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1284</v>
      </c>
      <c r="BQ25" s="55" t="s">
        <v>1285</v>
      </c>
      <c r="BR25" s="57" t="s">
        <v>1286</v>
      </c>
      <c r="BS25" s="54"/>
      <c r="BT25" s="56"/>
      <c r="BU25" s="56"/>
      <c r="BV25" s="57"/>
      <c r="BW25" s="60"/>
      <c r="BX25" s="195"/>
      <c r="BY25" s="56"/>
      <c r="BZ25" s="56"/>
      <c r="CA25" s="56"/>
      <c r="CB25" s="72"/>
      <c r="CC25" s="72"/>
      <c r="CD25" s="72"/>
      <c r="CE25" s="60" t="s">
        <v>657</v>
      </c>
      <c r="CF25" s="164" t="s">
        <v>658</v>
      </c>
      <c r="CG25" s="56" t="s">
        <v>643</v>
      </c>
      <c r="CH25" s="301" t="s">
        <v>644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9" t="s">
        <v>142</v>
      </c>
      <c r="DJ25" s="610"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1287</v>
      </c>
      <c r="D26" s="50" t="s">
        <v>133</v>
      </c>
      <c r="E26" s="51">
        <v>5936</v>
      </c>
      <c r="F26" s="606" t="s">
        <v>134</v>
      </c>
      <c r="G26" s="549" t="s">
        <v>632</v>
      </c>
      <c r="H26" s="607" t="s">
        <v>648</v>
      </c>
      <c r="I26" s="607" t="s">
        <v>649</v>
      </c>
      <c r="J26" s="698" t="s">
        <v>1288</v>
      </c>
      <c r="K26" s="608" t="s">
        <v>1289</v>
      </c>
      <c r="L26" s="55"/>
      <c r="M26" s="56" t="s">
        <v>1290</v>
      </c>
      <c r="N26" s="57" t="s">
        <v>1291</v>
      </c>
      <c r="O26" s="58" t="s">
        <v>142</v>
      </c>
      <c r="P26" s="59" t="s">
        <v>142</v>
      </c>
      <c r="Q26" s="60" t="s">
        <v>1088</v>
      </c>
      <c r="R26" s="77" t="s">
        <v>1210</v>
      </c>
      <c r="S26" s="55">
        <v>50</v>
      </c>
      <c r="T26" s="55">
        <v>0</v>
      </c>
      <c r="U26" s="55">
        <v>0</v>
      </c>
      <c r="V26" s="55">
        <v>50</v>
      </c>
      <c r="W26" s="55">
        <v>0</v>
      </c>
      <c r="X26" s="55">
        <v>0</v>
      </c>
      <c r="Y26" s="55">
        <v>0</v>
      </c>
      <c r="Z26" s="55">
        <v>0</v>
      </c>
      <c r="AA26" s="55">
        <v>0</v>
      </c>
      <c r="AB26" s="53">
        <v>100</v>
      </c>
      <c r="AC26" s="52" t="s">
        <v>244</v>
      </c>
      <c r="AD26" s="55" t="s">
        <v>190</v>
      </c>
      <c r="AE26" s="55" t="s">
        <v>142</v>
      </c>
      <c r="AF26" s="55" t="s">
        <v>146</v>
      </c>
      <c r="AG26" s="55" t="s">
        <v>142</v>
      </c>
      <c r="AH26" s="55">
        <v>2</v>
      </c>
      <c r="AI26" s="55">
        <v>15</v>
      </c>
      <c r="AJ26" s="62">
        <v>30</v>
      </c>
      <c r="AK26" s="63">
        <v>46332</v>
      </c>
      <c r="AL26" s="342">
        <f>WEEKDAY(Sheet_1_Table_1_138[[#This Row],[Lesson 1 
Date 
(DD-MMM-YYYY)]])</f>
        <v>6</v>
      </c>
      <c r="AM26" s="65">
        <v>0.64583333333333337</v>
      </c>
      <c r="AN26" s="66">
        <v>0.71875</v>
      </c>
      <c r="AO26" s="67" t="s">
        <v>1292</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1293</v>
      </c>
      <c r="BS26" s="52"/>
      <c r="BT26" s="56"/>
      <c r="BU26" s="56"/>
      <c r="BV26" s="70"/>
      <c r="BW26" s="60"/>
      <c r="BX26" s="71"/>
      <c r="BY26" s="56"/>
      <c r="BZ26" s="56"/>
      <c r="CA26" s="56"/>
      <c r="CB26" s="72"/>
      <c r="CC26" s="72"/>
      <c r="CD26" s="71"/>
      <c r="CE26" s="60" t="s">
        <v>657</v>
      </c>
      <c r="CF26" s="164" t="s">
        <v>658</v>
      </c>
      <c r="CG26" s="56" t="s">
        <v>643</v>
      </c>
      <c r="CH26" s="301" t="s">
        <v>644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9" t="s">
        <v>142</v>
      </c>
      <c r="DJ26" s="610"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1294</v>
      </c>
      <c r="D27" s="50" t="s">
        <v>133</v>
      </c>
      <c r="E27" s="51">
        <v>5938</v>
      </c>
      <c r="F27" s="606" t="s">
        <v>134</v>
      </c>
      <c r="G27" s="549" t="s">
        <v>632</v>
      </c>
      <c r="H27" s="607" t="s">
        <v>633</v>
      </c>
      <c r="I27" s="607" t="s">
        <v>634</v>
      </c>
      <c r="J27" s="698" t="s">
        <v>1295</v>
      </c>
      <c r="K27" s="608" t="s">
        <v>1296</v>
      </c>
      <c r="L27" s="55"/>
      <c r="M27" s="56" t="s">
        <v>1297</v>
      </c>
      <c r="N27" s="57" t="s">
        <v>1298</v>
      </c>
      <c r="O27" s="58" t="s">
        <v>142</v>
      </c>
      <c r="P27" s="59" t="s">
        <v>142</v>
      </c>
      <c r="Q27" s="60" t="s">
        <v>1088</v>
      </c>
      <c r="R27" s="77" t="s">
        <v>1210</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42">
        <f>WEEKDAY(Sheet_1_Table_1_138[[#This Row],[Lesson 1 
Date 
(DD-MMM-YYYY)]])</f>
        <v>4</v>
      </c>
      <c r="AM27" s="65">
        <v>0.625</v>
      </c>
      <c r="AN27" s="66">
        <v>0.6875</v>
      </c>
      <c r="AO27" s="441" t="s">
        <v>1050</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1299</v>
      </c>
      <c r="BS27" s="52"/>
      <c r="BT27" s="56"/>
      <c r="BU27" s="56"/>
      <c r="BV27" s="70"/>
      <c r="BW27" s="60"/>
      <c r="BX27" s="71"/>
      <c r="BY27" s="56"/>
      <c r="BZ27" s="56"/>
      <c r="CA27" s="56"/>
      <c r="CB27" s="72"/>
      <c r="CC27" s="72"/>
      <c r="CD27" s="71"/>
      <c r="CE27" s="60" t="s">
        <v>645</v>
      </c>
      <c r="CF27" s="164" t="s">
        <v>646</v>
      </c>
      <c r="CG27" s="56" t="s">
        <v>643</v>
      </c>
      <c r="CH27" s="301" t="s">
        <v>644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9" t="s">
        <v>142</v>
      </c>
      <c r="DJ27" s="610"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1300</v>
      </c>
      <c r="D28" s="50" t="s">
        <v>133</v>
      </c>
      <c r="E28" s="51">
        <v>5939</v>
      </c>
      <c r="F28" s="606" t="s">
        <v>134</v>
      </c>
      <c r="G28" s="549" t="s">
        <v>632</v>
      </c>
      <c r="H28" s="607" t="s">
        <v>633</v>
      </c>
      <c r="I28" s="607" t="s">
        <v>634</v>
      </c>
      <c r="J28" s="698" t="s">
        <v>1301</v>
      </c>
      <c r="K28" s="608" t="s">
        <v>1302</v>
      </c>
      <c r="L28" s="55"/>
      <c r="M28" s="56" t="s">
        <v>1303</v>
      </c>
      <c r="N28" s="57" t="s">
        <v>1304</v>
      </c>
      <c r="O28" s="58" t="s">
        <v>142</v>
      </c>
      <c r="P28" s="59" t="s">
        <v>142</v>
      </c>
      <c r="Q28" s="60" t="s">
        <v>1088</v>
      </c>
      <c r="R28" s="77" t="s">
        <v>1210</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42">
        <f>WEEKDAY(Sheet_1_Table_1_138[[#This Row],[Lesson 1 
Date 
(DD-MMM-YYYY)]])</f>
        <v>6</v>
      </c>
      <c r="AM28" s="65">
        <v>0.625</v>
      </c>
      <c r="AN28" s="66">
        <v>0.70833333333333337</v>
      </c>
      <c r="AO28" s="441" t="s">
        <v>1305</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1306</v>
      </c>
      <c r="BQ28" s="55"/>
      <c r="BR28" s="57"/>
      <c r="BS28" s="52"/>
      <c r="BT28" s="56"/>
      <c r="BU28" s="56"/>
      <c r="BV28" s="70"/>
      <c r="BW28" s="60"/>
      <c r="BX28" s="71"/>
      <c r="BY28" s="56"/>
      <c r="BZ28" s="56"/>
      <c r="CA28" s="56"/>
      <c r="CB28" s="72"/>
      <c r="CC28" s="72"/>
      <c r="CD28" s="71"/>
      <c r="CE28" s="60" t="s">
        <v>657</v>
      </c>
      <c r="CF28" s="164" t="s">
        <v>658</v>
      </c>
      <c r="CG28" s="56" t="s">
        <v>643</v>
      </c>
      <c r="CH28" s="301" t="s">
        <v>644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9" t="s">
        <v>142</v>
      </c>
      <c r="DJ28" s="610"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1307</v>
      </c>
      <c r="D29" s="50" t="s">
        <v>250</v>
      </c>
      <c r="E29" s="51">
        <v>5810</v>
      </c>
      <c r="F29" s="52" t="s">
        <v>1308</v>
      </c>
      <c r="G29" s="53" t="s">
        <v>157</v>
      </c>
      <c r="H29" s="52"/>
      <c r="I29" s="59"/>
      <c r="J29" s="60"/>
      <c r="K29" s="300" t="s">
        <v>1309</v>
      </c>
      <c r="L29" s="55"/>
      <c r="M29" s="56" t="s">
        <v>1310</v>
      </c>
      <c r="N29" s="57" t="s">
        <v>1311</v>
      </c>
      <c r="O29" s="58" t="s">
        <v>146</v>
      </c>
      <c r="P29" s="59" t="s">
        <v>146</v>
      </c>
      <c r="Q29" s="60" t="s">
        <v>1088</v>
      </c>
      <c r="R29" s="61" t="e">
        <f>VLOOKUP([13]!Sheet_1_Table_1_13[[#This Row],[Learning Domain]],[13]List!$A$7:$B$12,2,0)</f>
        <v>#REF!</v>
      </c>
      <c r="S29" s="55">
        <v>0</v>
      </c>
      <c r="T29" s="55">
        <v>0</v>
      </c>
      <c r="U29" s="55">
        <v>0</v>
      </c>
      <c r="V29" s="55">
        <v>30</v>
      </c>
      <c r="W29" s="55">
        <v>50</v>
      </c>
      <c r="X29" s="55">
        <v>20</v>
      </c>
      <c r="Y29" s="55">
        <v>0</v>
      </c>
      <c r="Z29" s="55">
        <v>0</v>
      </c>
      <c r="AA29" s="55">
        <v>0</v>
      </c>
      <c r="AB29" s="53" t="e">
        <f>SUM([13]!Sheet_1_Table_1_13[[#This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42">
        <f>WEEKDAY(Sheet_1_Table_1_138[[#This Row],[Lesson 1 
Date 
(DD-MMM-YYYY)]])</f>
        <v>4</v>
      </c>
      <c r="AM29" s="65">
        <v>0.6875</v>
      </c>
      <c r="AN29" s="66">
        <v>0.77083333333333337</v>
      </c>
      <c r="AO29" s="441" t="s">
        <v>1312</v>
      </c>
      <c r="AP29" s="68"/>
      <c r="AQ29" s="64" t="e">
        <f>WEEKDAY([13]!Sheet_1_Table_1_13[[#This Row],[Lesson 2
Date 
(DD-MMM-YYYY)]])</f>
        <v>#REF!</v>
      </c>
      <c r="AR29" s="65"/>
      <c r="AS29" s="66"/>
      <c r="AT29" s="66"/>
      <c r="AU29" s="63"/>
      <c r="AV29" s="64" t="e">
        <f>WEEKDAY([13]!Sheet_1_Table_1_13[[#This Row],[Lesson 3
Date 
(DD-MMM-YYYY)]])</f>
        <v>#REF!</v>
      </c>
      <c r="AW29" s="65"/>
      <c r="AX29" s="66"/>
      <c r="AY29" s="67"/>
      <c r="AZ29" s="68"/>
      <c r="BA29" s="64" t="e">
        <f>WEEKDAY([13]!Sheet_1_Table_1_13[[#This Row],[Lesson 4
Date 
(DD-MMM-YYYY)]])</f>
        <v>#REF!</v>
      </c>
      <c r="BB29" s="65"/>
      <c r="BC29" s="66"/>
      <c r="BD29" s="66"/>
      <c r="BE29" s="63"/>
      <c r="BF29" s="64" t="e">
        <f>WEEKDAY([13]!Sheet_1_Table_1_13[[#This Row],[Lesson 5
Date 
(DD-MMM-YYYY)]])</f>
        <v>#REF!</v>
      </c>
      <c r="BG29" s="65"/>
      <c r="BH29" s="66"/>
      <c r="BI29" s="67"/>
      <c r="BJ29" s="68"/>
      <c r="BK29" s="64" t="e">
        <f>WEEKDAY([13]!Sheet_1_Table_1_13[[#This Row],[Lesson 6
Date 
(DD-MMM-YYYY)]])</f>
        <v>#REF!</v>
      </c>
      <c r="BL29" s="65"/>
      <c r="BM29" s="66"/>
      <c r="BN29" s="66"/>
      <c r="BO29" s="54"/>
      <c r="BP29" s="69" t="s">
        <v>1313</v>
      </c>
      <c r="BQ29" s="55" t="s">
        <v>1314</v>
      </c>
      <c r="BR29" s="57" t="s">
        <v>184</v>
      </c>
      <c r="BS29" s="52"/>
      <c r="BT29" s="56"/>
      <c r="BU29" s="56"/>
      <c r="BV29" s="70"/>
      <c r="BW29" s="60"/>
      <c r="BX29" s="71"/>
      <c r="BY29" s="56" t="s">
        <v>149</v>
      </c>
      <c r="BZ29" s="56"/>
      <c r="CA29" s="56" t="s">
        <v>149</v>
      </c>
      <c r="CB29" s="72"/>
      <c r="CC29" s="72"/>
      <c r="CD29" s="71"/>
      <c r="CE29" s="60" t="s">
        <v>1315</v>
      </c>
      <c r="CF29" s="602" t="s">
        <v>1316</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205" t="s">
        <v>1317</v>
      </c>
      <c r="D30" s="205" t="s">
        <v>250</v>
      </c>
      <c r="E30" s="206">
        <v>5811</v>
      </c>
      <c r="F30" s="52" t="s">
        <v>1308</v>
      </c>
      <c r="G30" s="53" t="s">
        <v>157</v>
      </c>
      <c r="H30" s="52"/>
      <c r="I30" s="59"/>
      <c r="J30" s="222"/>
      <c r="K30" s="300" t="s">
        <v>1318</v>
      </c>
      <c r="L30" s="55"/>
      <c r="M30" s="56" t="s">
        <v>1319</v>
      </c>
      <c r="N30" s="219" t="s">
        <v>1320</v>
      </c>
      <c r="O30" s="58" t="s">
        <v>146</v>
      </c>
      <c r="P30" s="460" t="s">
        <v>146</v>
      </c>
      <c r="Q30" s="222" t="s">
        <v>1088</v>
      </c>
      <c r="R30" s="77" t="e">
        <f>VLOOKUP([13]!Sheet_1_Table_1_13[[#This Row],[Learning Domain]],[13]List!$A$7:$B$12,2,0)</f>
        <v>#REF!</v>
      </c>
      <c r="S30" s="55">
        <v>0</v>
      </c>
      <c r="T30" s="55">
        <v>0</v>
      </c>
      <c r="U30" s="55">
        <v>0</v>
      </c>
      <c r="V30" s="55">
        <v>30</v>
      </c>
      <c r="W30" s="55">
        <v>35</v>
      </c>
      <c r="X30" s="55">
        <v>35</v>
      </c>
      <c r="Y30" s="55">
        <v>0</v>
      </c>
      <c r="Z30" s="55">
        <v>0</v>
      </c>
      <c r="AA30" s="55">
        <v>0</v>
      </c>
      <c r="AB30" s="53" t="e">
        <f>SUM([13]!Sheet_1_Table_1_13[[#This Row],[Leadership LS]:[Career Development  CR]])</f>
        <v>#REF!</v>
      </c>
      <c r="AC30" s="52" t="s">
        <v>199</v>
      </c>
      <c r="AD30" s="209" t="s">
        <v>190</v>
      </c>
      <c r="AE30" s="209" t="s">
        <v>146</v>
      </c>
      <c r="AF30" s="209" t="s">
        <v>142</v>
      </c>
      <c r="AG30" s="209" t="s">
        <v>142</v>
      </c>
      <c r="AH30" s="209">
        <v>2</v>
      </c>
      <c r="AI30" s="55">
        <v>20</v>
      </c>
      <c r="AJ30" s="62">
        <f>SUM(Sheet_1_Table_1_138[[#This Row],[ILP Units Per Session]]*Sheet_1_Table_1_138[[#This Row],[Quota]])</f>
        <v>40</v>
      </c>
      <c r="AK30" s="211">
        <v>46295</v>
      </c>
      <c r="AL30" s="342">
        <f>WEEKDAY(Sheet_1_Table_1_138[[#This Row],[Lesson 1 
Date 
(DD-MMM-YYYY)]])</f>
        <v>4</v>
      </c>
      <c r="AM30" s="65">
        <v>0.6875</v>
      </c>
      <c r="AN30" s="66">
        <v>0.77083333333333337</v>
      </c>
      <c r="AO30" s="441" t="s">
        <v>1312</v>
      </c>
      <c r="AP30" s="68"/>
      <c r="AQ30" s="64" t="e">
        <f>WEEKDAY([13]!Sheet_1_Table_1_13[[#This Row],[Lesson 2
Date 
(DD-MMM-YYYY)]])</f>
        <v>#REF!</v>
      </c>
      <c r="AR30" s="65"/>
      <c r="AS30" s="66"/>
      <c r="AT30" s="66"/>
      <c r="AU30" s="211"/>
      <c r="AV30" s="165" t="e">
        <f>WEEKDAY([13]!Sheet_1_Table_1_13[[#This Row],[Lesson 3
Date 
(DD-MMM-YYYY)]])</f>
        <v>#REF!</v>
      </c>
      <c r="AW30" s="212"/>
      <c r="AX30" s="213"/>
      <c r="AY30" s="215"/>
      <c r="AZ30" s="68"/>
      <c r="BA30" s="64" t="e">
        <f>WEEKDAY([13]!Sheet_1_Table_1_13[[#This Row],[Lesson 4
Date 
(DD-MMM-YYYY)]])</f>
        <v>#REF!</v>
      </c>
      <c r="BB30" s="65"/>
      <c r="BC30" s="66"/>
      <c r="BD30" s="66"/>
      <c r="BE30" s="211"/>
      <c r="BF30" s="165" t="e">
        <f>WEEKDAY([13]!Sheet_1_Table_1_13[[#This Row],[Lesson 5
Date 
(DD-MMM-YYYY)]])</f>
        <v>#REF!</v>
      </c>
      <c r="BG30" s="212"/>
      <c r="BH30" s="213"/>
      <c r="BI30" s="215"/>
      <c r="BJ30" s="68"/>
      <c r="BK30" s="165" t="e">
        <f>WEEKDAY([13]!Sheet_1_Table_1_13[[#This Row],[Lesson 6
Date 
(DD-MMM-YYYY)]])</f>
        <v>#REF!</v>
      </c>
      <c r="BL30" s="212"/>
      <c r="BM30" s="213"/>
      <c r="BN30" s="213"/>
      <c r="BO30" s="216"/>
      <c r="BP30" s="69" t="s">
        <v>1313</v>
      </c>
      <c r="BQ30" s="55" t="s">
        <v>1314</v>
      </c>
      <c r="BR30" s="219"/>
      <c r="BS30" s="52"/>
      <c r="BT30" s="217"/>
      <c r="BU30" s="209"/>
      <c r="BV30" s="70"/>
      <c r="BW30" s="60"/>
      <c r="BX30" s="71"/>
      <c r="BY30" s="218" t="s">
        <v>149</v>
      </c>
      <c r="BZ30" s="218"/>
      <c r="CA30" s="218" t="s">
        <v>149</v>
      </c>
      <c r="CB30" s="220"/>
      <c r="CC30" s="220"/>
      <c r="CD30" s="221"/>
      <c r="CE30" s="60" t="s">
        <v>1315</v>
      </c>
      <c r="CF30" s="702" t="s">
        <v>1316</v>
      </c>
      <c r="CG30" s="56"/>
      <c r="CH30" s="57"/>
      <c r="CI30" s="223"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24"/>
      <c r="DH30" s="224"/>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1321</v>
      </c>
      <c r="D31" s="50" t="s">
        <v>174</v>
      </c>
      <c r="E31" s="206">
        <v>5812</v>
      </c>
      <c r="F31" s="52" t="s">
        <v>1308</v>
      </c>
      <c r="G31" s="53" t="s">
        <v>157</v>
      </c>
      <c r="H31" s="52"/>
      <c r="I31" s="59"/>
      <c r="J31" s="222"/>
      <c r="K31" s="300" t="s">
        <v>1322</v>
      </c>
      <c r="L31" s="55"/>
      <c r="M31" s="56" t="s">
        <v>1323</v>
      </c>
      <c r="N31" s="219" t="s">
        <v>1324</v>
      </c>
      <c r="O31" s="58" t="s">
        <v>146</v>
      </c>
      <c r="P31" s="460" t="s">
        <v>146</v>
      </c>
      <c r="Q31" s="222" t="s">
        <v>1088</v>
      </c>
      <c r="R31" s="77" t="e">
        <f>VLOOKUP([13]!Sheet_1_Table_1_13[[#This Row],[Learning Domain]],[13]List!$A$7:$B$12,2,0)</f>
        <v>#REF!</v>
      </c>
      <c r="S31" s="55">
        <v>0</v>
      </c>
      <c r="T31" s="55">
        <v>0</v>
      </c>
      <c r="U31" s="55">
        <v>0</v>
      </c>
      <c r="V31" s="55">
        <v>30</v>
      </c>
      <c r="W31" s="55">
        <v>35</v>
      </c>
      <c r="X31" s="55">
        <v>35</v>
      </c>
      <c r="Y31" s="55">
        <v>0</v>
      </c>
      <c r="Z31" s="55">
        <v>0</v>
      </c>
      <c r="AA31" s="55">
        <v>0</v>
      </c>
      <c r="AB31" s="53" t="e">
        <f>SUM([13]!Sheet_1_Table_1_13[[#This Row],[Leadership LS]:[Career Development  CR]])</f>
        <v>#REF!</v>
      </c>
      <c r="AC31" s="52" t="s">
        <v>244</v>
      </c>
      <c r="AD31" s="209" t="s">
        <v>190</v>
      </c>
      <c r="AE31" s="209" t="s">
        <v>146</v>
      </c>
      <c r="AF31" s="209" t="s">
        <v>142</v>
      </c>
      <c r="AG31" s="209" t="s">
        <v>142</v>
      </c>
      <c r="AH31" s="209">
        <v>2</v>
      </c>
      <c r="AI31" s="55">
        <v>20</v>
      </c>
      <c r="AJ31" s="62">
        <f>SUM(Sheet_1_Table_1_138[[#This Row],[ILP Units Per Session]]*Sheet_1_Table_1_138[[#This Row],[Quota]])</f>
        <v>40</v>
      </c>
      <c r="AK31" s="211">
        <v>46309</v>
      </c>
      <c r="AL31" s="342">
        <f>WEEKDAY(Sheet_1_Table_1_138[[#This Row],[Lesson 1 
Date 
(DD-MMM-YYYY)]])</f>
        <v>4</v>
      </c>
      <c r="AM31" s="65">
        <v>0.6875</v>
      </c>
      <c r="AN31" s="66">
        <v>0.77083333333333337</v>
      </c>
      <c r="AO31" s="441" t="s">
        <v>1325</v>
      </c>
      <c r="AP31" s="68"/>
      <c r="AQ31" s="64" t="e">
        <f>WEEKDAY([13]!Sheet_1_Table_1_13[[#This Row],[Lesson 2
Date 
(DD-MMM-YYYY)]])</f>
        <v>#REF!</v>
      </c>
      <c r="AR31" s="65"/>
      <c r="AS31" s="66"/>
      <c r="AT31" s="66"/>
      <c r="AU31" s="211"/>
      <c r="AV31" s="165" t="e">
        <f>WEEKDAY([13]!Sheet_1_Table_1_13[[#This Row],[Lesson 3
Date 
(DD-MMM-YYYY)]])</f>
        <v>#REF!</v>
      </c>
      <c r="AW31" s="212"/>
      <c r="AX31" s="213"/>
      <c r="AY31" s="215"/>
      <c r="AZ31" s="68"/>
      <c r="BA31" s="64" t="e">
        <f>WEEKDAY([13]!Sheet_1_Table_1_13[[#This Row],[Lesson 4
Date 
(DD-MMM-YYYY)]])</f>
        <v>#REF!</v>
      </c>
      <c r="BB31" s="65"/>
      <c r="BC31" s="66"/>
      <c r="BD31" s="66"/>
      <c r="BE31" s="211"/>
      <c r="BF31" s="165" t="e">
        <f>WEEKDAY([13]!Sheet_1_Table_1_13[[#This Row],[Lesson 5
Date 
(DD-MMM-YYYY)]])</f>
        <v>#REF!</v>
      </c>
      <c r="BG31" s="212"/>
      <c r="BH31" s="213"/>
      <c r="BI31" s="215"/>
      <c r="BJ31" s="68"/>
      <c r="BK31" s="165" t="e">
        <f>WEEKDAY([13]!Sheet_1_Table_1_13[[#This Row],[Lesson 6
Date 
(DD-MMM-YYYY)]])</f>
        <v>#REF!</v>
      </c>
      <c r="BL31" s="212"/>
      <c r="BM31" s="213"/>
      <c r="BN31" s="213"/>
      <c r="BO31" s="216"/>
      <c r="BP31" s="69" t="s">
        <v>1313</v>
      </c>
      <c r="BQ31" s="55" t="s">
        <v>1314</v>
      </c>
      <c r="BR31" s="219"/>
      <c r="BS31" s="52"/>
      <c r="BT31" s="217"/>
      <c r="BU31" s="209"/>
      <c r="BV31" s="70"/>
      <c r="BW31" s="60"/>
      <c r="BX31" s="71"/>
      <c r="BY31" s="218" t="s">
        <v>149</v>
      </c>
      <c r="BZ31" s="218"/>
      <c r="CA31" s="218" t="s">
        <v>149</v>
      </c>
      <c r="CB31" s="220"/>
      <c r="CC31" s="220"/>
      <c r="CD31" s="221"/>
      <c r="CE31" s="60" t="s">
        <v>1315</v>
      </c>
      <c r="CF31" s="702" t="s">
        <v>1316</v>
      </c>
      <c r="CG31" s="56"/>
      <c r="CH31" s="57"/>
      <c r="CI31" s="223"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24"/>
      <c r="DH31" s="224"/>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1326</v>
      </c>
      <c r="D32" s="50" t="s">
        <v>174</v>
      </c>
      <c r="E32" s="51">
        <v>5813</v>
      </c>
      <c r="F32" s="52" t="s">
        <v>1308</v>
      </c>
      <c r="G32" s="53" t="s">
        <v>157</v>
      </c>
      <c r="H32" s="52"/>
      <c r="I32" s="59"/>
      <c r="J32" s="60"/>
      <c r="K32" s="300" t="s">
        <v>1327</v>
      </c>
      <c r="L32" s="55"/>
      <c r="M32" s="56" t="s">
        <v>1328</v>
      </c>
      <c r="N32" s="57" t="s">
        <v>1329</v>
      </c>
      <c r="O32" s="78" t="s">
        <v>146</v>
      </c>
      <c r="P32" s="59" t="s">
        <v>146</v>
      </c>
      <c r="Q32" s="60" t="s">
        <v>1088</v>
      </c>
      <c r="R32" s="61" t="e">
        <f>VLOOKUP([13]!Sheet_1_Table_1_13[[#This Row],[Learning Domain]],[13]List!$A$7:$B$12,2,0)</f>
        <v>#REF!</v>
      </c>
      <c r="S32" s="55">
        <v>0</v>
      </c>
      <c r="T32" s="55">
        <v>0</v>
      </c>
      <c r="U32" s="55">
        <v>0</v>
      </c>
      <c r="V32" s="55">
        <v>30</v>
      </c>
      <c r="W32" s="55">
        <v>35</v>
      </c>
      <c r="X32" s="55">
        <v>35</v>
      </c>
      <c r="Y32" s="55">
        <v>0</v>
      </c>
      <c r="Z32" s="55">
        <v>0</v>
      </c>
      <c r="AA32" s="55">
        <v>0</v>
      </c>
      <c r="AB32" s="53" t="e">
        <f>SUM([13]!Sheet_1_Table_1_13[[#This Row],[Leadership LS]:[Career Development  CR]])</f>
        <v>#REF!</v>
      </c>
      <c r="AC32" s="52" t="s">
        <v>244</v>
      </c>
      <c r="AD32" s="55" t="s">
        <v>190</v>
      </c>
      <c r="AE32" s="55" t="s">
        <v>146</v>
      </c>
      <c r="AF32" s="55" t="s">
        <v>142</v>
      </c>
      <c r="AG32" s="55" t="s">
        <v>142</v>
      </c>
      <c r="AH32" s="55">
        <v>2</v>
      </c>
      <c r="AI32" s="55">
        <v>20</v>
      </c>
      <c r="AJ32" s="62">
        <f>SUM(Sheet_1_Table_1_138[[#This Row],[ILP Units Per Session]]*Sheet_1_Table_1_138[[#This Row],[Quota]])</f>
        <v>40</v>
      </c>
      <c r="AK32" s="63">
        <v>46323</v>
      </c>
      <c r="AL32" s="342">
        <f>WEEKDAY(Sheet_1_Table_1_138[[#This Row],[Lesson 1 
Date 
(DD-MMM-YYYY)]])</f>
        <v>4</v>
      </c>
      <c r="AM32" s="65">
        <v>0.6875</v>
      </c>
      <c r="AN32" s="66">
        <v>0.77083333333333337</v>
      </c>
      <c r="AO32" s="441" t="s">
        <v>504</v>
      </c>
      <c r="AP32" s="68"/>
      <c r="AQ32" s="64" t="e">
        <f>WEEKDAY([13]!Sheet_1_Table_1_13[[#This Row],[Lesson 2
Date 
(DD-MMM-YYYY)]])</f>
        <v>#REF!</v>
      </c>
      <c r="AR32" s="65"/>
      <c r="AS32" s="66"/>
      <c r="AT32" s="66"/>
      <c r="AU32" s="63"/>
      <c r="AV32" s="64" t="e">
        <f>WEEKDAY([13]!Sheet_1_Table_1_13[[#This Row],[Lesson 3
Date 
(DD-MMM-YYYY)]])</f>
        <v>#REF!</v>
      </c>
      <c r="AW32" s="65"/>
      <c r="AX32" s="66"/>
      <c r="AY32" s="67"/>
      <c r="AZ32" s="68"/>
      <c r="BA32" s="64" t="e">
        <f>WEEKDAY([13]!Sheet_1_Table_1_13[[#This Row],[Lesson 4
Date 
(DD-MMM-YYYY)]])</f>
        <v>#REF!</v>
      </c>
      <c r="BB32" s="65"/>
      <c r="BC32" s="66"/>
      <c r="BD32" s="66"/>
      <c r="BE32" s="63"/>
      <c r="BF32" s="64" t="e">
        <f>WEEKDAY([13]!Sheet_1_Table_1_13[[#This Row],[Lesson 5
Date 
(DD-MMM-YYYY)]])</f>
        <v>#REF!</v>
      </c>
      <c r="BG32" s="65"/>
      <c r="BH32" s="66"/>
      <c r="BI32" s="67"/>
      <c r="BJ32" s="68"/>
      <c r="BK32" s="64" t="e">
        <f>WEEKDAY([13]!Sheet_1_Table_1_13[[#This Row],[Lesson 6
Date 
(DD-MMM-YYYY)]])</f>
        <v>#REF!</v>
      </c>
      <c r="BL32" s="65"/>
      <c r="BM32" s="66"/>
      <c r="BN32" s="66"/>
      <c r="BO32" s="54"/>
      <c r="BP32" s="69" t="s">
        <v>1313</v>
      </c>
      <c r="BQ32" s="55" t="s">
        <v>1314</v>
      </c>
      <c r="BR32" s="57"/>
      <c r="BS32" s="52"/>
      <c r="BT32" s="56"/>
      <c r="BU32" s="56"/>
      <c r="BV32" s="70"/>
      <c r="BW32" s="60"/>
      <c r="BX32" s="71"/>
      <c r="BY32" s="56" t="s">
        <v>184</v>
      </c>
      <c r="BZ32" s="56"/>
      <c r="CA32" s="56" t="s">
        <v>184</v>
      </c>
      <c r="CB32" s="72"/>
      <c r="CC32" s="72"/>
      <c r="CD32" s="71"/>
      <c r="CE32" s="60" t="s">
        <v>1315</v>
      </c>
      <c r="CF32" s="602" t="s">
        <v>1316</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1330</v>
      </c>
      <c r="D33" s="50" t="s">
        <v>204</v>
      </c>
      <c r="E33" s="51">
        <v>5814</v>
      </c>
      <c r="F33" s="52" t="s">
        <v>1308</v>
      </c>
      <c r="G33" s="53" t="s">
        <v>157</v>
      </c>
      <c r="H33" s="52"/>
      <c r="I33" s="59"/>
      <c r="J33" s="60"/>
      <c r="K33" s="300" t="s">
        <v>1331</v>
      </c>
      <c r="L33" s="55"/>
      <c r="M33" s="56" t="s">
        <v>1332</v>
      </c>
      <c r="N33" s="57" t="s">
        <v>1333</v>
      </c>
      <c r="O33" s="78" t="s">
        <v>146</v>
      </c>
      <c r="P33" s="59" t="s">
        <v>146</v>
      </c>
      <c r="Q33" s="60" t="s">
        <v>1088</v>
      </c>
      <c r="R33" s="77" t="e">
        <f>VLOOKUP([13]!Sheet_1_Table_1_13[[#This Row],[Learning Domain]],[13]List!$A$7:$B$12,2,0)</f>
        <v>#REF!</v>
      </c>
      <c r="S33" s="55">
        <v>0</v>
      </c>
      <c r="T33" s="55">
        <v>0</v>
      </c>
      <c r="U33" s="55">
        <v>35</v>
      </c>
      <c r="V33" s="55">
        <v>30</v>
      </c>
      <c r="W33" s="55">
        <v>35</v>
      </c>
      <c r="X33" s="55">
        <v>0</v>
      </c>
      <c r="Y33" s="55">
        <v>0</v>
      </c>
      <c r="Z33" s="55">
        <v>0</v>
      </c>
      <c r="AA33" s="55">
        <v>0</v>
      </c>
      <c r="AB33" s="53" t="e">
        <f>SUM([13]!Sheet_1_Table_1_13[[#This Row],[Leadership LS]:[Career Development  CR]])</f>
        <v>#REF!</v>
      </c>
      <c r="AC33" s="52" t="s">
        <v>244</v>
      </c>
      <c r="AD33" s="55" t="s">
        <v>190</v>
      </c>
      <c r="AE33" s="55" t="s">
        <v>146</v>
      </c>
      <c r="AF33" s="55" t="s">
        <v>142</v>
      </c>
      <c r="AG33" s="55" t="s">
        <v>142</v>
      </c>
      <c r="AH33" s="55">
        <v>2</v>
      </c>
      <c r="AI33" s="55">
        <v>25</v>
      </c>
      <c r="AJ33" s="62">
        <f>SUM(Sheet_1_Table_1_138[[#This Row],[ILP Units Per Session]]*Sheet_1_Table_1_138[[#This Row],[Quota]])</f>
        <v>50</v>
      </c>
      <c r="AK33" s="63">
        <v>46337</v>
      </c>
      <c r="AL33" s="342">
        <f>WEEKDAY(Sheet_1_Table_1_138[[#This Row],[Lesson 1 
Date 
(DD-MMM-YYYY)]])</f>
        <v>4</v>
      </c>
      <c r="AM33" s="65">
        <v>0.6875</v>
      </c>
      <c r="AN33" s="66">
        <v>0.77083333333333337</v>
      </c>
      <c r="AO33" s="441" t="s">
        <v>1334</v>
      </c>
      <c r="AP33" s="68"/>
      <c r="AQ33" s="64" t="e">
        <f>WEEKDAY([13]!Sheet_1_Table_1_13[[#This Row],[Lesson 2
Date 
(DD-MMM-YYYY)]])</f>
        <v>#REF!</v>
      </c>
      <c r="AR33" s="65"/>
      <c r="AS33" s="66"/>
      <c r="AT33" s="66"/>
      <c r="AU33" s="63"/>
      <c r="AV33" s="64" t="e">
        <f>WEEKDAY([13]!Sheet_1_Table_1_13[[#This Row],[Lesson 3
Date 
(DD-MMM-YYYY)]])</f>
        <v>#REF!</v>
      </c>
      <c r="AW33" s="65"/>
      <c r="AX33" s="66"/>
      <c r="AY33" s="67"/>
      <c r="AZ33" s="68"/>
      <c r="BA33" s="64" t="e">
        <f>WEEKDAY([13]!Sheet_1_Table_1_13[[#This Row],[Lesson 4
Date 
(DD-MMM-YYYY)]])</f>
        <v>#REF!</v>
      </c>
      <c r="BB33" s="65"/>
      <c r="BC33" s="66"/>
      <c r="BD33" s="66"/>
      <c r="BE33" s="63"/>
      <c r="BF33" s="64" t="e">
        <f>WEEKDAY([13]!Sheet_1_Table_1_13[[#This Row],[Lesson 5
Date 
(DD-MMM-YYYY)]])</f>
        <v>#REF!</v>
      </c>
      <c r="BG33" s="65"/>
      <c r="BH33" s="66"/>
      <c r="BI33" s="67"/>
      <c r="BJ33" s="68"/>
      <c r="BK33" s="64" t="e">
        <f>WEEKDAY([13]!Sheet_1_Table_1_13[[#This Row],[Lesson 6
Date 
(DD-MMM-YYYY)]])</f>
        <v>#REF!</v>
      </c>
      <c r="BL33" s="65"/>
      <c r="BM33" s="66"/>
      <c r="BN33" s="66"/>
      <c r="BO33" s="54"/>
      <c r="BP33" s="69" t="s">
        <v>1313</v>
      </c>
      <c r="BQ33" s="55" t="s">
        <v>1314</v>
      </c>
      <c r="BR33" s="57"/>
      <c r="BS33" s="52"/>
      <c r="BT33" s="56"/>
      <c r="BU33" s="56"/>
      <c r="BV33" s="70"/>
      <c r="BW33" s="60"/>
      <c r="BX33" s="71"/>
      <c r="BY33" s="56"/>
      <c r="BZ33" s="56" t="s">
        <v>1335</v>
      </c>
      <c r="CA33" s="56" t="s">
        <v>1336</v>
      </c>
      <c r="CB33" s="72"/>
      <c r="CC33" s="72"/>
      <c r="CD33" s="71"/>
      <c r="CE33" s="60" t="s">
        <v>1315</v>
      </c>
      <c r="CF33" s="602" t="s">
        <v>1316</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1337</v>
      </c>
      <c r="D34" s="50" t="s">
        <v>204</v>
      </c>
      <c r="E34" s="51">
        <v>5815</v>
      </c>
      <c r="F34" s="52" t="s">
        <v>1308</v>
      </c>
      <c r="G34" s="53" t="s">
        <v>157</v>
      </c>
      <c r="H34" s="52"/>
      <c r="I34" s="59"/>
      <c r="J34" s="60"/>
      <c r="K34" s="300" t="s">
        <v>1338</v>
      </c>
      <c r="L34" s="55"/>
      <c r="M34" s="56" t="s">
        <v>1339</v>
      </c>
      <c r="N34" s="57" t="s">
        <v>1340</v>
      </c>
      <c r="O34" s="78" t="s">
        <v>146</v>
      </c>
      <c r="P34" s="59" t="s">
        <v>146</v>
      </c>
      <c r="Q34" s="60" t="s">
        <v>1088</v>
      </c>
      <c r="R34" s="77" t="e">
        <f>VLOOKUP([13]!Sheet_1_Table_1_13[[#This Row],[Learning Domain]],[13]List!$A$7:$B$12,2,0)</f>
        <v>#REF!</v>
      </c>
      <c r="S34" s="55">
        <v>0</v>
      </c>
      <c r="T34" s="55">
        <v>0</v>
      </c>
      <c r="U34" s="55">
        <v>0</v>
      </c>
      <c r="V34" s="55">
        <v>30</v>
      </c>
      <c r="W34" s="55">
        <v>35</v>
      </c>
      <c r="X34" s="55">
        <v>35</v>
      </c>
      <c r="Y34" s="55">
        <v>0</v>
      </c>
      <c r="Z34" s="55">
        <v>0</v>
      </c>
      <c r="AA34" s="55">
        <v>0</v>
      </c>
      <c r="AB34" s="53" t="e">
        <f>SUM([13]!Sheet_1_Table_1_13[[#This Row],[Leadership LS]:[Career Development  CR]])</f>
        <v>#REF!</v>
      </c>
      <c r="AC34" s="52" t="s">
        <v>244</v>
      </c>
      <c r="AD34" s="55" t="s">
        <v>190</v>
      </c>
      <c r="AE34" s="55" t="s">
        <v>146</v>
      </c>
      <c r="AF34" s="55" t="s">
        <v>142</v>
      </c>
      <c r="AG34" s="55" t="s">
        <v>142</v>
      </c>
      <c r="AH34" s="55">
        <v>2</v>
      </c>
      <c r="AI34" s="55">
        <v>25</v>
      </c>
      <c r="AJ34" s="62">
        <f>SUM(Sheet_1_Table_1_138[[#This Row],[ILP Units Per Session]]*Sheet_1_Table_1_138[[#This Row],[Quota]])</f>
        <v>50</v>
      </c>
      <c r="AK34" s="63">
        <v>46351</v>
      </c>
      <c r="AL34" s="342">
        <f>WEEKDAY(Sheet_1_Table_1_138[[#This Row],[Lesson 1 
Date 
(DD-MMM-YYYY)]])</f>
        <v>4</v>
      </c>
      <c r="AM34" s="65">
        <v>0.6875</v>
      </c>
      <c r="AN34" s="66">
        <v>0.77083333333333337</v>
      </c>
      <c r="AO34" s="67" t="s">
        <v>1341</v>
      </c>
      <c r="AP34" s="68"/>
      <c r="AQ34" s="64" t="e">
        <f>WEEKDAY([13]!Sheet_1_Table_1_13[[#This Row],[Lesson 2
Date 
(DD-MMM-YYYY)]])</f>
        <v>#REF!</v>
      </c>
      <c r="AR34" s="65"/>
      <c r="AS34" s="66"/>
      <c r="AT34" s="66"/>
      <c r="AU34" s="63"/>
      <c r="AV34" s="165" t="e">
        <f>WEEKDAY([13]!Sheet_1_Table_1_13[[#This Row],[Lesson 3
Date 
(DD-MMM-YYYY)]])</f>
        <v>#REF!</v>
      </c>
      <c r="AW34" s="65"/>
      <c r="AX34" s="66"/>
      <c r="AY34" s="67"/>
      <c r="AZ34" s="68"/>
      <c r="BA34" s="64" t="e">
        <f>WEEKDAY([13]!Sheet_1_Table_1_13[[#This Row],[Lesson 4
Date 
(DD-MMM-YYYY)]])</f>
        <v>#REF!</v>
      </c>
      <c r="BB34" s="65"/>
      <c r="BC34" s="66"/>
      <c r="BD34" s="66"/>
      <c r="BE34" s="63"/>
      <c r="BF34" s="165" t="e">
        <f>WEEKDAY([13]!Sheet_1_Table_1_13[[#This Row],[Lesson 5
Date 
(DD-MMM-YYYY)]])</f>
        <v>#REF!</v>
      </c>
      <c r="BG34" s="65"/>
      <c r="BH34" s="66"/>
      <c r="BI34" s="67"/>
      <c r="BJ34" s="68"/>
      <c r="BK34" s="165" t="e">
        <f>WEEKDAY([13]!Sheet_1_Table_1_13[[#This Row],[Lesson 6
Date 
(DD-MMM-YYYY)]])</f>
        <v>#REF!</v>
      </c>
      <c r="BL34" s="65"/>
      <c r="BM34" s="66"/>
      <c r="BN34" s="66"/>
      <c r="BO34" s="54"/>
      <c r="BP34" s="69" t="s">
        <v>1313</v>
      </c>
      <c r="BQ34" s="55" t="s">
        <v>1314</v>
      </c>
      <c r="BR34" s="57"/>
      <c r="BS34" s="52"/>
      <c r="BT34" s="56"/>
      <c r="BU34" s="56"/>
      <c r="BV34" s="70"/>
      <c r="BW34" s="60"/>
      <c r="BX34" s="71"/>
      <c r="BY34" s="56" t="s">
        <v>184</v>
      </c>
      <c r="BZ34" s="56" t="s">
        <v>1342</v>
      </c>
      <c r="CA34" s="56" t="s">
        <v>1336</v>
      </c>
      <c r="CB34" s="72"/>
      <c r="CC34" s="72"/>
      <c r="CD34" s="71"/>
      <c r="CE34" s="60" t="s">
        <v>1315</v>
      </c>
      <c r="CF34" s="602" t="s">
        <v>1316</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2194</v>
      </c>
      <c r="D35" s="50" t="s">
        <v>133</v>
      </c>
      <c r="E35" s="51">
        <v>5998</v>
      </c>
      <c r="F35" s="52" t="s">
        <v>134</v>
      </c>
      <c r="G35" s="53" t="s">
        <v>1489</v>
      </c>
      <c r="H35" s="80"/>
      <c r="I35" s="300" t="s">
        <v>2195</v>
      </c>
      <c r="J35" s="60"/>
      <c r="K35" s="56" t="s">
        <v>2196</v>
      </c>
      <c r="L35" s="55"/>
      <c r="M35" s="56" t="s">
        <v>2197</v>
      </c>
      <c r="N35" s="57" t="s">
        <v>2198</v>
      </c>
      <c r="O35" s="181" t="s">
        <v>142</v>
      </c>
      <c r="P35" s="59" t="s">
        <v>142</v>
      </c>
      <c r="Q35" s="60" t="s">
        <v>1088</v>
      </c>
      <c r="R35" s="61" t="s">
        <v>1210</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8">
        <v>4</v>
      </c>
      <c r="AI35" s="55">
        <v>30</v>
      </c>
      <c r="AJ35" s="63">
        <v>46279</v>
      </c>
      <c r="AK35" s="64">
        <v>2</v>
      </c>
      <c r="AL35" s="65">
        <v>0.77083333333333337</v>
      </c>
      <c r="AM35" s="66">
        <v>0.85416666666666663</v>
      </c>
      <c r="AN35" s="67" t="s">
        <v>630</v>
      </c>
      <c r="AO35" s="68">
        <v>46286</v>
      </c>
      <c r="AP35" s="64">
        <v>2</v>
      </c>
      <c r="AQ35" s="65">
        <v>0.77083333333333337</v>
      </c>
      <c r="AR35" s="66">
        <v>0.85416666666666663</v>
      </c>
      <c r="AS35" s="66" t="s">
        <v>630</v>
      </c>
      <c r="AT35" s="63"/>
      <c r="AU35" s="165">
        <v>7</v>
      </c>
      <c r="AV35" s="65"/>
      <c r="AW35" s="66"/>
      <c r="AX35" s="67"/>
      <c r="AY35" s="68"/>
      <c r="AZ35" s="64">
        <v>7</v>
      </c>
      <c r="BA35" s="65"/>
      <c r="BB35" s="66"/>
      <c r="BC35" s="66"/>
      <c r="BD35" s="63"/>
      <c r="BE35" s="165">
        <v>7</v>
      </c>
      <c r="BF35" s="65"/>
      <c r="BG35" s="66"/>
      <c r="BH35" s="67"/>
      <c r="BI35" s="68"/>
      <c r="BJ35" s="165">
        <v>7</v>
      </c>
      <c r="BK35" s="65"/>
      <c r="BL35" s="66"/>
      <c r="BM35" s="66"/>
      <c r="BN35" s="54"/>
      <c r="BO35" s="69" t="s">
        <v>2164</v>
      </c>
      <c r="BP35" s="69"/>
      <c r="BQ35" s="57"/>
      <c r="BR35" s="52"/>
      <c r="BS35" s="56"/>
      <c r="BT35" s="56"/>
      <c r="BU35" s="70"/>
      <c r="BV35" s="60"/>
      <c r="BW35" s="71"/>
      <c r="BX35" s="56" t="s">
        <v>184</v>
      </c>
      <c r="BY35" s="56"/>
      <c r="BZ35" s="56" t="s">
        <v>184</v>
      </c>
      <c r="CA35" s="72"/>
      <c r="CB35" s="72"/>
      <c r="CC35" s="71"/>
      <c r="CD35" s="60" t="s">
        <v>1536</v>
      </c>
      <c r="CE35" s="71" t="s">
        <v>1537</v>
      </c>
      <c r="CF35" s="56" t="s">
        <v>2165</v>
      </c>
      <c r="CG35" s="57" t="s">
        <v>2166</v>
      </c>
      <c r="CH35" s="52" t="s">
        <v>146</v>
      </c>
      <c r="CI35" s="52" t="s">
        <v>142</v>
      </c>
      <c r="CJ35" s="52" t="s">
        <v>142</v>
      </c>
      <c r="CK35" s="52" t="s">
        <v>142</v>
      </c>
      <c r="CL35" s="52" t="s">
        <v>146</v>
      </c>
      <c r="CM35" s="52" t="s">
        <v>142</v>
      </c>
      <c r="CN35" s="52" t="s">
        <v>142</v>
      </c>
      <c r="CO35" s="52" t="s">
        <v>142</v>
      </c>
      <c r="CP35" s="52" t="s">
        <v>142</v>
      </c>
      <c r="CQ35" s="52" t="s">
        <v>142</v>
      </c>
      <c r="CR35" s="52" t="s">
        <v>142</v>
      </c>
      <c r="CS35" s="52" t="s">
        <v>146</v>
      </c>
      <c r="CT35" s="52" t="s">
        <v>142</v>
      </c>
      <c r="CU35" s="52" t="s">
        <v>142</v>
      </c>
      <c r="CV35" s="52" t="s">
        <v>142</v>
      </c>
      <c r="CW35" s="52" t="s">
        <v>142</v>
      </c>
      <c r="CX35" s="52" t="s">
        <v>142</v>
      </c>
      <c r="CY35" s="59" t="s">
        <v>142</v>
      </c>
      <c r="CZ35" s="74" t="s">
        <v>142</v>
      </c>
      <c r="DA35" s="75" t="s">
        <v>142</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2199</v>
      </c>
      <c r="D36" s="50" t="s">
        <v>133</v>
      </c>
      <c r="E36" s="51">
        <v>6000</v>
      </c>
      <c r="F36" s="52" t="s">
        <v>134</v>
      </c>
      <c r="G36" s="53" t="s">
        <v>1489</v>
      </c>
      <c r="H36" s="80"/>
      <c r="I36" s="300" t="s">
        <v>2195</v>
      </c>
      <c r="J36" s="60"/>
      <c r="K36" s="56" t="s">
        <v>2200</v>
      </c>
      <c r="L36" s="55"/>
      <c r="M36" s="56" t="s">
        <v>2197</v>
      </c>
      <c r="N36" s="57" t="s">
        <v>2198</v>
      </c>
      <c r="O36" s="181" t="s">
        <v>142</v>
      </c>
      <c r="P36" s="59" t="s">
        <v>142</v>
      </c>
      <c r="Q36" s="60" t="s">
        <v>1088</v>
      </c>
      <c r="R36" s="61" t="s">
        <v>1210</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8">
        <v>4</v>
      </c>
      <c r="AI36" s="55">
        <v>40</v>
      </c>
      <c r="AJ36" s="63">
        <v>46287</v>
      </c>
      <c r="AK36" s="64">
        <v>3</v>
      </c>
      <c r="AL36" s="65">
        <v>0.77083333333333337</v>
      </c>
      <c r="AM36" s="66">
        <v>0.85416666666666663</v>
      </c>
      <c r="AN36" s="67" t="s">
        <v>630</v>
      </c>
      <c r="AO36" s="68">
        <v>46294</v>
      </c>
      <c r="AP36" s="64">
        <v>3</v>
      </c>
      <c r="AQ36" s="65">
        <v>0.77083333333333337</v>
      </c>
      <c r="AR36" s="66">
        <v>0.85416666666666663</v>
      </c>
      <c r="AS36" s="66" t="s">
        <v>630</v>
      </c>
      <c r="AT36" s="63"/>
      <c r="AU36" s="64">
        <v>7</v>
      </c>
      <c r="AV36" s="65"/>
      <c r="AW36" s="66"/>
      <c r="AX36" s="67"/>
      <c r="AY36" s="68"/>
      <c r="AZ36" s="64">
        <v>7</v>
      </c>
      <c r="BA36" s="65"/>
      <c r="BB36" s="66"/>
      <c r="BC36" s="66"/>
      <c r="BD36" s="63"/>
      <c r="BE36" s="64">
        <v>7</v>
      </c>
      <c r="BF36" s="65"/>
      <c r="BG36" s="66"/>
      <c r="BH36" s="67"/>
      <c r="BI36" s="68"/>
      <c r="BJ36" s="64">
        <v>7</v>
      </c>
      <c r="BK36" s="65"/>
      <c r="BL36" s="66"/>
      <c r="BM36" s="66"/>
      <c r="BN36" s="54"/>
      <c r="BO36" s="69" t="s">
        <v>2164</v>
      </c>
      <c r="BP36" s="55"/>
      <c r="BQ36" s="57"/>
      <c r="BR36" s="52"/>
      <c r="BS36" s="56"/>
      <c r="BT36" s="56"/>
      <c r="BU36" s="70"/>
      <c r="BV36" s="60"/>
      <c r="BW36" s="71"/>
      <c r="BX36" s="56" t="s">
        <v>149</v>
      </c>
      <c r="BY36" s="56"/>
      <c r="BZ36" s="56" t="s">
        <v>149</v>
      </c>
      <c r="CA36" s="72"/>
      <c r="CB36" s="72"/>
      <c r="CC36" s="71"/>
      <c r="CD36" s="60" t="s">
        <v>1536</v>
      </c>
      <c r="CE36" s="71" t="s">
        <v>1537</v>
      </c>
      <c r="CF36" s="56" t="s">
        <v>2165</v>
      </c>
      <c r="CG36" s="57" t="s">
        <v>2166</v>
      </c>
      <c r="CH36" s="52" t="s">
        <v>146</v>
      </c>
      <c r="CI36" s="52" t="s">
        <v>142</v>
      </c>
      <c r="CJ36" s="52" t="s">
        <v>142</v>
      </c>
      <c r="CK36" s="52" t="s">
        <v>142</v>
      </c>
      <c r="CL36" s="52" t="s">
        <v>146</v>
      </c>
      <c r="CM36" s="52" t="s">
        <v>142</v>
      </c>
      <c r="CN36" s="52" t="s">
        <v>142</v>
      </c>
      <c r="CO36" s="52" t="s">
        <v>142</v>
      </c>
      <c r="CP36" s="52" t="s">
        <v>142</v>
      </c>
      <c r="CQ36" s="52" t="s">
        <v>142</v>
      </c>
      <c r="CR36" s="52" t="s">
        <v>142</v>
      </c>
      <c r="CS36" s="52" t="s">
        <v>146</v>
      </c>
      <c r="CT36" s="52" t="s">
        <v>142</v>
      </c>
      <c r="CU36" s="52" t="s">
        <v>142</v>
      </c>
      <c r="CV36" s="52" t="s">
        <v>142</v>
      </c>
      <c r="CW36" s="52" t="s">
        <v>142</v>
      </c>
      <c r="CX36" s="52" t="s">
        <v>142</v>
      </c>
      <c r="CY36" s="59" t="s">
        <v>142</v>
      </c>
      <c r="CZ36" s="74" t="s">
        <v>142</v>
      </c>
      <c r="DA36" s="75" t="s">
        <v>142</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2201</v>
      </c>
      <c r="D37" s="50" t="s">
        <v>133</v>
      </c>
      <c r="E37" s="51">
        <v>6015</v>
      </c>
      <c r="F37" s="52" t="s">
        <v>134</v>
      </c>
      <c r="G37" s="53" t="s">
        <v>1489</v>
      </c>
      <c r="H37" s="97"/>
      <c r="I37" s="786" t="s">
        <v>2202</v>
      </c>
      <c r="J37" s="60"/>
      <c r="K37" s="56" t="s">
        <v>2202</v>
      </c>
      <c r="L37" s="55" t="s">
        <v>2203</v>
      </c>
      <c r="M37" s="56" t="s">
        <v>2204</v>
      </c>
      <c r="N37" s="57" t="s">
        <v>2205</v>
      </c>
      <c r="O37" s="787" t="s">
        <v>142</v>
      </c>
      <c r="P37" s="96" t="s">
        <v>142</v>
      </c>
      <c r="Q37" s="60" t="s">
        <v>1088</v>
      </c>
      <c r="R37" s="77" t="s">
        <v>1210</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3">
        <v>46328</v>
      </c>
      <c r="AK37" s="64">
        <v>2</v>
      </c>
      <c r="AL37" s="65">
        <v>0.77083333333333337</v>
      </c>
      <c r="AM37" s="66">
        <v>0.83333333333333337</v>
      </c>
      <c r="AN37" s="67" t="s">
        <v>1568</v>
      </c>
      <c r="AO37" s="68"/>
      <c r="AP37" s="64">
        <v>7</v>
      </c>
      <c r="AQ37" s="65"/>
      <c r="AR37" s="66"/>
      <c r="AS37" s="126"/>
      <c r="AT37" s="63"/>
      <c r="AU37" s="64">
        <v>7</v>
      </c>
      <c r="AV37" s="65"/>
      <c r="AW37" s="66"/>
      <c r="AX37" s="126"/>
      <c r="AY37" s="98"/>
      <c r="AZ37" s="64">
        <v>7</v>
      </c>
      <c r="BA37" s="65"/>
      <c r="BB37" s="66"/>
      <c r="BC37" s="126"/>
      <c r="BD37" s="63"/>
      <c r="BE37" s="64">
        <v>7</v>
      </c>
      <c r="BF37" s="65"/>
      <c r="BG37" s="66"/>
      <c r="BH37" s="126"/>
      <c r="BI37" s="98"/>
      <c r="BJ37" s="64">
        <v>7</v>
      </c>
      <c r="BK37" s="65"/>
      <c r="BL37" s="66"/>
      <c r="BM37" s="99"/>
      <c r="BN37" s="54"/>
      <c r="BO37" s="69" t="s">
        <v>2206</v>
      </c>
      <c r="BP37" s="55"/>
      <c r="BQ37" s="57"/>
      <c r="BR37" s="54"/>
      <c r="BS37" s="56" t="s">
        <v>2207</v>
      </c>
      <c r="BT37" s="56"/>
      <c r="BU37" s="57"/>
      <c r="BV37" s="60"/>
      <c r="BW37" s="195"/>
      <c r="BX37" s="56"/>
      <c r="BY37" s="56"/>
      <c r="BZ37" s="56"/>
      <c r="CA37" s="72"/>
      <c r="CB37" s="72"/>
      <c r="CC37" s="72"/>
      <c r="CD37" s="60" t="s">
        <v>2208</v>
      </c>
      <c r="CE37" s="72" t="s">
        <v>2209</v>
      </c>
      <c r="CF37" s="56" t="s">
        <v>2210</v>
      </c>
      <c r="CG37" s="57" t="s">
        <v>1044</v>
      </c>
      <c r="CH37" s="52" t="s">
        <v>146</v>
      </c>
      <c r="CI37" s="52" t="s">
        <v>142</v>
      </c>
      <c r="CJ37" s="52" t="s">
        <v>142</v>
      </c>
      <c r="CK37" s="52" t="s">
        <v>142</v>
      </c>
      <c r="CL37" s="52" t="s">
        <v>146</v>
      </c>
      <c r="CM37" s="52" t="s">
        <v>142</v>
      </c>
      <c r="CN37" s="52" t="s">
        <v>142</v>
      </c>
      <c r="CO37" s="52" t="s">
        <v>142</v>
      </c>
      <c r="CP37" s="52" t="s">
        <v>142</v>
      </c>
      <c r="CQ37" s="52" t="s">
        <v>142</v>
      </c>
      <c r="CR37" s="52" t="s">
        <v>142</v>
      </c>
      <c r="CS37" s="52" t="s">
        <v>146</v>
      </c>
      <c r="CT37" s="52" t="s">
        <v>142</v>
      </c>
      <c r="CU37" s="52" t="s">
        <v>142</v>
      </c>
      <c r="CV37" s="52" t="s">
        <v>142</v>
      </c>
      <c r="CW37" s="52" t="s">
        <v>142</v>
      </c>
      <c r="CX37" s="52" t="s">
        <v>142</v>
      </c>
      <c r="CY37" s="59" t="s">
        <v>142</v>
      </c>
      <c r="CZ37" s="74" t="s">
        <v>142</v>
      </c>
      <c r="DA37" s="75" t="s">
        <v>142</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2201</v>
      </c>
      <c r="D38" s="50" t="s">
        <v>133</v>
      </c>
      <c r="E38" s="51">
        <v>6016</v>
      </c>
      <c r="F38" s="52" t="s">
        <v>134</v>
      </c>
      <c r="G38" s="53" t="s">
        <v>1489</v>
      </c>
      <c r="H38" s="97"/>
      <c r="I38" s="786" t="s">
        <v>2202</v>
      </c>
      <c r="J38" s="60"/>
      <c r="K38" s="56" t="s">
        <v>2202</v>
      </c>
      <c r="L38" s="55" t="s">
        <v>2211</v>
      </c>
      <c r="M38" s="56" t="s">
        <v>2204</v>
      </c>
      <c r="N38" s="57" t="s">
        <v>2205</v>
      </c>
      <c r="O38" s="787" t="s">
        <v>142</v>
      </c>
      <c r="P38" s="96" t="s">
        <v>142</v>
      </c>
      <c r="Q38" s="60" t="s">
        <v>1088</v>
      </c>
      <c r="R38" s="77" t="s">
        <v>1210</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3">
        <v>46330</v>
      </c>
      <c r="AK38" s="64">
        <v>4</v>
      </c>
      <c r="AL38" s="65">
        <v>0.77083333333333337</v>
      </c>
      <c r="AM38" s="66">
        <v>0.83333333333333337</v>
      </c>
      <c r="AN38" s="67" t="s">
        <v>1568</v>
      </c>
      <c r="AO38" s="68"/>
      <c r="AP38" s="64">
        <v>7</v>
      </c>
      <c r="AQ38" s="65"/>
      <c r="AR38" s="66"/>
      <c r="AS38" s="126"/>
      <c r="AT38" s="63"/>
      <c r="AU38" s="64">
        <v>7</v>
      </c>
      <c r="AV38" s="65"/>
      <c r="AW38" s="66"/>
      <c r="AX38" s="126"/>
      <c r="AY38" s="98"/>
      <c r="AZ38" s="64">
        <v>7</v>
      </c>
      <c r="BA38" s="65"/>
      <c r="BB38" s="66"/>
      <c r="BC38" s="126"/>
      <c r="BD38" s="63"/>
      <c r="BE38" s="64">
        <v>7</v>
      </c>
      <c r="BF38" s="65"/>
      <c r="BG38" s="66"/>
      <c r="BH38" s="126"/>
      <c r="BI38" s="98"/>
      <c r="BJ38" s="64">
        <v>7</v>
      </c>
      <c r="BK38" s="65"/>
      <c r="BL38" s="66"/>
      <c r="BM38" s="99"/>
      <c r="BN38" s="54"/>
      <c r="BO38" s="69" t="s">
        <v>2206</v>
      </c>
      <c r="BP38" s="55"/>
      <c r="BQ38" s="57"/>
      <c r="BR38" s="54"/>
      <c r="BS38" s="56" t="s">
        <v>2207</v>
      </c>
      <c r="BT38" s="56"/>
      <c r="BU38" s="57"/>
      <c r="BV38" s="60"/>
      <c r="BW38" s="195"/>
      <c r="BX38" s="56"/>
      <c r="BY38" s="56"/>
      <c r="BZ38" s="56"/>
      <c r="CA38" s="72"/>
      <c r="CB38" s="72"/>
      <c r="CC38" s="72"/>
      <c r="CD38" s="60" t="s">
        <v>2208</v>
      </c>
      <c r="CE38" s="72" t="s">
        <v>2209</v>
      </c>
      <c r="CF38" s="56" t="s">
        <v>2210</v>
      </c>
      <c r="CG38" s="57" t="s">
        <v>1044</v>
      </c>
      <c r="CH38" s="52" t="s">
        <v>146</v>
      </c>
      <c r="CI38" s="52" t="s">
        <v>142</v>
      </c>
      <c r="CJ38" s="52" t="s">
        <v>142</v>
      </c>
      <c r="CK38" s="52" t="s">
        <v>142</v>
      </c>
      <c r="CL38" s="52" t="s">
        <v>146</v>
      </c>
      <c r="CM38" s="52" t="s">
        <v>142</v>
      </c>
      <c r="CN38" s="52" t="s">
        <v>142</v>
      </c>
      <c r="CO38" s="52" t="s">
        <v>142</v>
      </c>
      <c r="CP38" s="52" t="s">
        <v>142</v>
      </c>
      <c r="CQ38" s="52" t="s">
        <v>142</v>
      </c>
      <c r="CR38" s="52" t="s">
        <v>142</v>
      </c>
      <c r="CS38" s="52" t="s">
        <v>146</v>
      </c>
      <c r="CT38" s="52" t="s">
        <v>142</v>
      </c>
      <c r="CU38" s="52" t="s">
        <v>142</v>
      </c>
      <c r="CV38" s="52" t="s">
        <v>142</v>
      </c>
      <c r="CW38" s="52" t="s">
        <v>142</v>
      </c>
      <c r="CX38" s="52" t="s">
        <v>142</v>
      </c>
      <c r="CY38" s="59" t="s">
        <v>142</v>
      </c>
      <c r="CZ38" s="74" t="s">
        <v>142</v>
      </c>
      <c r="DA38" s="75" t="s">
        <v>142</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2212</v>
      </c>
      <c r="D39" s="50" t="s">
        <v>133</v>
      </c>
      <c r="E39" s="51">
        <v>6012</v>
      </c>
      <c r="F39" s="52" t="s">
        <v>134</v>
      </c>
      <c r="G39" s="53" t="s">
        <v>1489</v>
      </c>
      <c r="H39" s="97"/>
      <c r="I39" s="57" t="s">
        <v>2213</v>
      </c>
      <c r="J39" s="60"/>
      <c r="K39" s="56" t="s">
        <v>2213</v>
      </c>
      <c r="L39" s="55">
        <v>1</v>
      </c>
      <c r="M39" s="56" t="s">
        <v>2214</v>
      </c>
      <c r="N39" s="57" t="s">
        <v>2215</v>
      </c>
      <c r="O39" s="787" t="s">
        <v>142</v>
      </c>
      <c r="P39" s="96" t="s">
        <v>142</v>
      </c>
      <c r="Q39" s="60" t="s">
        <v>1088</v>
      </c>
      <c r="R39" s="61" t="s">
        <v>1210</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3" t="s">
        <v>630</v>
      </c>
      <c r="AK39" s="64" t="e">
        <v>#VALUE!</v>
      </c>
      <c r="AL39" s="65">
        <v>0.77083333333333337</v>
      </c>
      <c r="AM39" s="66">
        <v>0.8125</v>
      </c>
      <c r="AN39" s="67" t="s">
        <v>2216</v>
      </c>
      <c r="AO39" s="68"/>
      <c r="AP39" s="64">
        <v>7</v>
      </c>
      <c r="AQ39" s="65"/>
      <c r="AR39" s="66"/>
      <c r="AS39" s="126"/>
      <c r="AT39" s="63"/>
      <c r="AU39" s="64">
        <v>7</v>
      </c>
      <c r="AV39" s="65"/>
      <c r="AW39" s="66"/>
      <c r="AX39" s="126"/>
      <c r="AY39" s="98"/>
      <c r="AZ39" s="64">
        <v>7</v>
      </c>
      <c r="BA39" s="65"/>
      <c r="BB39" s="66"/>
      <c r="BC39" s="126"/>
      <c r="BD39" s="63"/>
      <c r="BE39" s="64">
        <v>7</v>
      </c>
      <c r="BF39" s="65"/>
      <c r="BG39" s="66"/>
      <c r="BH39" s="126"/>
      <c r="BI39" s="98"/>
      <c r="BJ39" s="64">
        <v>7</v>
      </c>
      <c r="BK39" s="65"/>
      <c r="BL39" s="66"/>
      <c r="BM39" s="99"/>
      <c r="BN39" s="54" t="s">
        <v>163</v>
      </c>
      <c r="BO39" s="69" t="s">
        <v>2217</v>
      </c>
      <c r="BP39" s="55" t="s">
        <v>2218</v>
      </c>
      <c r="BQ39" s="57" t="s">
        <v>2219</v>
      </c>
      <c r="BR39" s="54"/>
      <c r="BS39" s="56" t="s">
        <v>2220</v>
      </c>
      <c r="BT39" s="56"/>
      <c r="BU39" s="57"/>
      <c r="BV39" s="60"/>
      <c r="BW39" s="195"/>
      <c r="BX39" s="56" t="s">
        <v>184</v>
      </c>
      <c r="BY39" s="56"/>
      <c r="BZ39" s="56" t="s">
        <v>184</v>
      </c>
      <c r="CA39" s="72"/>
      <c r="CB39" s="72"/>
      <c r="CC39" s="72"/>
      <c r="CD39" s="60" t="s">
        <v>1536</v>
      </c>
      <c r="CE39" s="72" t="s">
        <v>1537</v>
      </c>
      <c r="CF39" s="56" t="s">
        <v>2165</v>
      </c>
      <c r="CG39" s="57" t="s">
        <v>2166</v>
      </c>
      <c r="CH39" s="52" t="s">
        <v>146</v>
      </c>
      <c r="CI39" s="52" t="s">
        <v>142</v>
      </c>
      <c r="CJ39" s="52" t="s">
        <v>142</v>
      </c>
      <c r="CK39" s="52" t="s">
        <v>142</v>
      </c>
      <c r="CL39" s="52" t="s">
        <v>142</v>
      </c>
      <c r="CM39" s="52" t="s">
        <v>142</v>
      </c>
      <c r="CN39" s="52" t="s">
        <v>142</v>
      </c>
      <c r="CO39" s="52" t="s">
        <v>142</v>
      </c>
      <c r="CP39" s="52" t="s">
        <v>142</v>
      </c>
      <c r="CQ39" s="52" t="s">
        <v>142</v>
      </c>
      <c r="CR39" s="52" t="s">
        <v>142</v>
      </c>
      <c r="CS39" s="52" t="s">
        <v>146</v>
      </c>
      <c r="CT39" s="52" t="s">
        <v>142</v>
      </c>
      <c r="CU39" s="52" t="s">
        <v>142</v>
      </c>
      <c r="CV39" s="52" t="s">
        <v>142</v>
      </c>
      <c r="CW39" s="52" t="s">
        <v>142</v>
      </c>
      <c r="CX39" s="52" t="s">
        <v>142</v>
      </c>
      <c r="CY39" s="59" t="s">
        <v>142</v>
      </c>
      <c r="CZ39" s="74" t="s">
        <v>142</v>
      </c>
      <c r="DA39" s="75" t="s">
        <v>142</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2212</v>
      </c>
      <c r="D40" s="50" t="s">
        <v>133</v>
      </c>
      <c r="E40" s="51">
        <v>6013</v>
      </c>
      <c r="F40" s="52" t="s">
        <v>134</v>
      </c>
      <c r="G40" s="53" t="s">
        <v>1489</v>
      </c>
      <c r="H40" s="97"/>
      <c r="I40" s="57" t="s">
        <v>2213</v>
      </c>
      <c r="J40" s="60"/>
      <c r="K40" s="56" t="s">
        <v>2213</v>
      </c>
      <c r="L40" s="55">
        <v>2</v>
      </c>
      <c r="M40" s="56" t="s">
        <v>2214</v>
      </c>
      <c r="N40" s="57" t="s">
        <v>2215</v>
      </c>
      <c r="O40" s="787" t="s">
        <v>142</v>
      </c>
      <c r="P40" s="96" t="s">
        <v>142</v>
      </c>
      <c r="Q40" s="60" t="s">
        <v>1088</v>
      </c>
      <c r="R40" s="77" t="s">
        <v>1210</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3" t="s">
        <v>630</v>
      </c>
      <c r="AK40" s="64" t="e">
        <v>#VALUE!</v>
      </c>
      <c r="AL40" s="65">
        <v>0.77083333333333337</v>
      </c>
      <c r="AM40" s="66">
        <v>0.8125</v>
      </c>
      <c r="AN40" s="67" t="s">
        <v>2216</v>
      </c>
      <c r="AO40" s="68"/>
      <c r="AP40" s="64">
        <v>7</v>
      </c>
      <c r="AQ40" s="65"/>
      <c r="AR40" s="66"/>
      <c r="AS40" s="126"/>
      <c r="AT40" s="63"/>
      <c r="AU40" s="64">
        <v>7</v>
      </c>
      <c r="AV40" s="65"/>
      <c r="AW40" s="66"/>
      <c r="AX40" s="126"/>
      <c r="AY40" s="98"/>
      <c r="AZ40" s="64">
        <v>7</v>
      </c>
      <c r="BA40" s="65"/>
      <c r="BB40" s="66"/>
      <c r="BC40" s="126"/>
      <c r="BD40" s="63"/>
      <c r="BE40" s="64">
        <v>7</v>
      </c>
      <c r="BF40" s="65"/>
      <c r="BG40" s="66"/>
      <c r="BH40" s="126"/>
      <c r="BI40" s="98"/>
      <c r="BJ40" s="64">
        <v>7</v>
      </c>
      <c r="BK40" s="65"/>
      <c r="BL40" s="66"/>
      <c r="BM40" s="99"/>
      <c r="BN40" s="54" t="s">
        <v>163</v>
      </c>
      <c r="BO40" s="69" t="s">
        <v>2217</v>
      </c>
      <c r="BP40" s="55" t="s">
        <v>2218</v>
      </c>
      <c r="BQ40" s="57" t="s">
        <v>2219</v>
      </c>
      <c r="BR40" s="54"/>
      <c r="BS40" s="56" t="s">
        <v>2220</v>
      </c>
      <c r="BT40" s="56"/>
      <c r="BU40" s="57"/>
      <c r="BV40" s="60"/>
      <c r="BW40" s="195"/>
      <c r="BX40" s="56" t="s">
        <v>149</v>
      </c>
      <c r="BY40" s="56"/>
      <c r="BZ40" s="56" t="s">
        <v>149</v>
      </c>
      <c r="CA40" s="72"/>
      <c r="CB40" s="72"/>
      <c r="CC40" s="72"/>
      <c r="CD40" s="60" t="s">
        <v>1536</v>
      </c>
      <c r="CE40" s="72" t="s">
        <v>1537</v>
      </c>
      <c r="CF40" s="56" t="s">
        <v>2165</v>
      </c>
      <c r="CG40" s="57" t="s">
        <v>2166</v>
      </c>
      <c r="CH40" s="52" t="s">
        <v>146</v>
      </c>
      <c r="CI40" s="52" t="s">
        <v>142</v>
      </c>
      <c r="CJ40" s="52" t="s">
        <v>142</v>
      </c>
      <c r="CK40" s="52" t="s">
        <v>142</v>
      </c>
      <c r="CL40" s="52" t="s">
        <v>142</v>
      </c>
      <c r="CM40" s="52" t="s">
        <v>142</v>
      </c>
      <c r="CN40" s="52" t="s">
        <v>142</v>
      </c>
      <c r="CO40" s="52" t="s">
        <v>142</v>
      </c>
      <c r="CP40" s="52" t="s">
        <v>142</v>
      </c>
      <c r="CQ40" s="52" t="s">
        <v>142</v>
      </c>
      <c r="CR40" s="52" t="s">
        <v>142</v>
      </c>
      <c r="CS40" s="52" t="s">
        <v>146</v>
      </c>
      <c r="CT40" s="52" t="s">
        <v>142</v>
      </c>
      <c r="CU40" s="52" t="s">
        <v>142</v>
      </c>
      <c r="CV40" s="52" t="s">
        <v>142</v>
      </c>
      <c r="CW40" s="52" t="s">
        <v>142</v>
      </c>
      <c r="CX40" s="52" t="s">
        <v>142</v>
      </c>
      <c r="CY40" s="59" t="s">
        <v>142</v>
      </c>
      <c r="CZ40" s="74" t="s">
        <v>142</v>
      </c>
      <c r="DA40" s="75" t="s">
        <v>142</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342</v>
      </c>
      <c r="N41" s="57"/>
      <c r="O41" s="114"/>
      <c r="P41" s="96"/>
      <c r="Q41" s="60"/>
      <c r="R41" s="77" t="e">
        <f>VLOOKUP(Sheet_1_Table_1_138[[#This Row],[Learning Domain]],[10]List!$A$7:$B$12,2,0)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342</v>
      </c>
      <c r="N42" s="57"/>
      <c r="O42" s="114"/>
      <c r="P42" s="96"/>
      <c r="Q42" s="60"/>
      <c r="R42" s="61" t="e">
        <f>VLOOKUP(Sheet_1_Table_1_138[[#This Row],[Learning Domain]],[10]List!$A$7:$B$12,2,0)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342</v>
      </c>
      <c r="N43" s="57"/>
      <c r="O43" s="114"/>
      <c r="P43" s="96"/>
      <c r="Q43" s="60"/>
      <c r="R43" s="61" t="e">
        <f>VLOOKUP(Sheet_1_Table_1_138[[#This Row],[Learning Domain]],[10]List!$A$7:$B$12,2,0)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342</v>
      </c>
      <c r="N44" s="57"/>
      <c r="O44" s="114"/>
      <c r="P44" s="96"/>
      <c r="Q44" s="60"/>
      <c r="R44" s="77" t="e">
        <f>VLOOKUP(Sheet_1_Table_1_138[[#This Row],[Learning Domain]],[10]List!$A$7:$B$12,2,0)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342</v>
      </c>
      <c r="N45" s="57"/>
      <c r="O45" s="114"/>
      <c r="P45" s="96"/>
      <c r="Q45" s="60"/>
      <c r="R45" s="61" t="e">
        <f>VLOOKUP(Sheet_1_Table_1_138[[#This Row],[Learning Domain]],[10]List!$A$7:$B$12,2,0)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342</v>
      </c>
      <c r="N46" s="57"/>
      <c r="O46" s="114"/>
      <c r="P46" s="96"/>
      <c r="Q46" s="60"/>
      <c r="R46" s="61" t="e">
        <f>VLOOKUP(Sheet_1_Table_1_138[[#This Row],[Learning Domain]],[10]List!$A$7:$B$12,2,0)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342</v>
      </c>
      <c r="N47" s="57"/>
      <c r="O47" s="114"/>
      <c r="P47" s="96"/>
      <c r="Q47" s="60"/>
      <c r="R47" s="77" t="e">
        <f>VLOOKUP(Sheet_1_Table_1_138[[#This Row],[Learning Domain]],[10]List!$A$7:$B$12,2,0)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342</v>
      </c>
      <c r="N48" s="57"/>
      <c r="O48" s="114"/>
      <c r="P48" s="96"/>
      <c r="Q48" s="60"/>
      <c r="R48" s="61" t="e">
        <f>VLOOKUP(Sheet_1_Table_1_138[[#This Row],[Learning Domain]],[10]List!$A$7:$B$12,2,0)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342</v>
      </c>
      <c r="N49" s="57"/>
      <c r="O49" s="114"/>
      <c r="P49" s="96"/>
      <c r="Q49" s="60"/>
      <c r="R49" s="61" t="e">
        <f>VLOOKUP(Sheet_1_Table_1_138[[#This Row],[Learning Domain]],[10]List!$A$7:$B$12,2,0)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342</v>
      </c>
      <c r="N50" s="57"/>
      <c r="O50" s="114"/>
      <c r="P50" s="96"/>
      <c r="Q50" s="60"/>
      <c r="R50" s="77" t="e">
        <f>VLOOKUP(Sheet_1_Table_1_138[[#This Row],[Learning Domain]],[10]List!$A$7:$B$12,2,0)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342</v>
      </c>
      <c r="N51" s="57"/>
      <c r="O51" s="114"/>
      <c r="P51" s="96"/>
      <c r="Q51" s="60"/>
      <c r="R51" s="61" t="e">
        <f>VLOOKUP(Sheet_1_Table_1_138[[#This Row],[Learning Domain]],[10]List!$A$7:$B$12,2,0)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342</v>
      </c>
      <c r="N52" s="57"/>
      <c r="O52" s="114"/>
      <c r="P52" s="96"/>
      <c r="Q52" s="60"/>
      <c r="R52" s="61" t="e">
        <f>VLOOKUP(Sheet_1_Table_1_138[[#This Row],[Learning Domain]],[10]List!$A$7:$B$12,2,0)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95"/>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3">
    <cfRule type="cellIs" dxfId="79" priority="28" operator="greaterThan">
      <formula>0</formula>
    </cfRule>
  </conditionalFormatting>
  <conditionalFormatting sqref="K6">
    <cfRule type="cellIs" dxfId="78" priority="26" operator="greaterThan">
      <formula>0</formula>
    </cfRule>
  </conditionalFormatting>
  <conditionalFormatting sqref="K9:K13">
    <cfRule type="cellIs" dxfId="77" priority="24" operator="greaterThan">
      <formula>0</formula>
    </cfRule>
  </conditionalFormatting>
  <conditionalFormatting sqref="K15:K18">
    <cfRule type="cellIs" dxfId="76" priority="23" operator="greaterThan">
      <formula>0</formula>
    </cfRule>
  </conditionalFormatting>
  <conditionalFormatting sqref="K21">
    <cfRule type="cellIs" dxfId="75" priority="21" operator="greaterThan">
      <formula>0</formula>
    </cfRule>
  </conditionalFormatting>
  <conditionalFormatting sqref="K4:L5">
    <cfRule type="cellIs" dxfId="74" priority="27" operator="greaterThan">
      <formula>0</formula>
    </cfRule>
  </conditionalFormatting>
  <conditionalFormatting sqref="K7:L8">
    <cfRule type="cellIs" dxfId="73" priority="25" operator="greaterThan">
      <formula>0</formula>
    </cfRule>
  </conditionalFormatting>
  <conditionalFormatting sqref="K19:L20">
    <cfRule type="cellIs" dxfId="72" priority="22" operator="greaterThan">
      <formula>0</formula>
    </cfRule>
  </conditionalFormatting>
  <conditionalFormatting sqref="L14">
    <cfRule type="cellIs" dxfId="71" priority="16" operator="greaterThan">
      <formula>0</formula>
    </cfRule>
  </conditionalFormatting>
  <conditionalFormatting sqref="L23:L24">
    <cfRule type="cellIs" dxfId="70" priority="12" operator="greaterThan">
      <formula>0</formula>
    </cfRule>
  </conditionalFormatting>
  <conditionalFormatting sqref="L30:L33">
    <cfRule type="cellIs" dxfId="69" priority="7" operator="greaterThan">
      <formula>0</formula>
    </cfRule>
  </conditionalFormatting>
  <conditionalFormatting sqref="S3:AA52">
    <cfRule type="cellIs" dxfId="68" priority="3" operator="greaterThan">
      <formula>0</formula>
    </cfRule>
  </conditionalFormatting>
  <conditionalFormatting sqref="AB3:AB52">
    <cfRule type="cellIs" dxfId="67" priority="4" operator="notEqual">
      <formula>100</formula>
    </cfRule>
    <cfRule type="cellIs" dxfId="66" priority="5" operator="equal">
      <formula>100</formula>
    </cfRule>
  </conditionalFormatting>
  <conditionalFormatting sqref="AE3:AG52">
    <cfRule type="containsText" dxfId="65" priority="2" operator="containsText" text="Y">
      <formula>NOT(ISERROR(SEARCH("Y",AE3)))</formula>
    </cfRule>
  </conditionalFormatting>
  <conditionalFormatting sqref="CH35:DA40">
    <cfRule type="containsText" dxfId="64" priority="1" operator="containsText" text="Y">
      <formula>NOT(ISERROR(SEARCH("Y",CH35)))</formula>
    </cfRule>
  </conditionalFormatting>
  <conditionalFormatting sqref="CI3:CZ34 DI3:DJ52 CI41:CZ52">
    <cfRule type="containsText" dxfId="63" priority="6" operator="containsText" text="Y">
      <formula>NOT(ISERROR(SEARCH("Y",CI3)))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7"/>
  <sheetViews>
    <sheetView topLeftCell="W18" zoomScale="84" zoomScaleNormal="84" workbookViewId="0">
      <selection activeCell="AS22" sqref="AS2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04"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80.099999999999994" customHeight="1">
      <c r="A3" s="48">
        <v>1</v>
      </c>
      <c r="B3" s="49">
        <v>202609</v>
      </c>
      <c r="C3" s="50" t="s">
        <v>1343</v>
      </c>
      <c r="D3" s="50" t="s">
        <v>1344</v>
      </c>
      <c r="E3" s="51">
        <v>5734</v>
      </c>
      <c r="F3" s="52" t="s">
        <v>134</v>
      </c>
      <c r="G3" s="53" t="s">
        <v>157</v>
      </c>
      <c r="H3" s="59" t="s">
        <v>1345</v>
      </c>
      <c r="I3" s="54" t="s">
        <v>1346</v>
      </c>
      <c r="J3" s="60" t="s">
        <v>1347</v>
      </c>
      <c r="K3" s="69" t="s">
        <v>1348</v>
      </c>
      <c r="L3" s="55"/>
      <c r="M3" s="56" t="s">
        <v>1349</v>
      </c>
      <c r="N3" s="57" t="s">
        <v>1350</v>
      </c>
      <c r="O3" s="78" t="s">
        <v>146</v>
      </c>
      <c r="P3" s="59" t="s">
        <v>146</v>
      </c>
      <c r="Q3" s="60" t="s">
        <v>1351</v>
      </c>
      <c r="R3" s="77" t="str">
        <f>VLOOKUP(Sheet_1_Table_1_133[[#This Row],[Learning Domain]],[14]List!$A$7:$B$12,2,0)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WEEKDAY([8]!Sheet_1_Table_1_13[[#This Row],[Lesson 3
Date 
(DD-MMM-YYYY)]])</f>
        <v>#REF!</v>
      </c>
      <c r="AW3" s="65">
        <v>0.5625</v>
      </c>
      <c r="AX3" s="66">
        <v>0.625</v>
      </c>
      <c r="AY3" s="67" t="s">
        <v>147</v>
      </c>
      <c r="AZ3" s="68">
        <v>46307</v>
      </c>
      <c r="BA3" s="64" t="e">
        <f>WEEKDAY([8]!Sheet_1_Table_1_13[[#This Row],[Lesson 4
Date 
(DD-MMM-YYYY)]])</f>
        <v>#REF!</v>
      </c>
      <c r="BB3" s="65">
        <v>0.5625</v>
      </c>
      <c r="BC3" s="66">
        <v>0.625</v>
      </c>
      <c r="BD3" s="67" t="s">
        <v>147</v>
      </c>
      <c r="BE3" s="68">
        <v>46321</v>
      </c>
      <c r="BF3" s="64" t="e">
        <f>WEEKDAY([8]!Sheet_1_Table_1_13[[#This Row],[Lesson 5
Date 
(DD-MMM-YYYY)]])</f>
        <v>#REF!</v>
      </c>
      <c r="BG3" s="65">
        <v>0.5625</v>
      </c>
      <c r="BH3" s="66">
        <v>0.625</v>
      </c>
      <c r="BI3" s="67" t="s">
        <v>147</v>
      </c>
      <c r="BJ3" s="68">
        <v>46328</v>
      </c>
      <c r="BK3" s="64" t="e">
        <f>WEEKDAY([8]!Sheet_1_Table_1_13[[#This Row],[Lesson 6
Date 
(DD-MMM-YYYY)]])</f>
        <v>#REF!</v>
      </c>
      <c r="BL3" s="65">
        <v>0.5625</v>
      </c>
      <c r="BM3" s="66">
        <v>0.625</v>
      </c>
      <c r="BN3" s="67" t="s">
        <v>147</v>
      </c>
      <c r="BO3" s="54" t="s">
        <v>291</v>
      </c>
      <c r="BP3" s="69" t="s">
        <v>1352</v>
      </c>
      <c r="BQ3" s="69" t="s">
        <v>406</v>
      </c>
      <c r="BR3" s="53" t="s">
        <v>1353</v>
      </c>
      <c r="BS3" s="52"/>
      <c r="BT3" s="56"/>
      <c r="BU3" s="56"/>
      <c r="BV3" s="70"/>
      <c r="BW3" s="60"/>
      <c r="BX3" s="71"/>
      <c r="BY3" s="56"/>
      <c r="BZ3" s="56"/>
      <c r="CA3" s="56"/>
      <c r="CB3" s="72"/>
      <c r="CC3" s="72"/>
      <c r="CD3" s="71"/>
      <c r="CE3" s="60" t="s">
        <v>1354</v>
      </c>
      <c r="CF3" s="164" t="s">
        <v>1355</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1356</v>
      </c>
      <c r="D4" s="50" t="s">
        <v>1344</v>
      </c>
      <c r="E4" s="51">
        <v>5735</v>
      </c>
      <c r="F4" s="52" t="s">
        <v>134</v>
      </c>
      <c r="G4" s="53" t="s">
        <v>157</v>
      </c>
      <c r="H4" s="59" t="s">
        <v>1345</v>
      </c>
      <c r="I4" s="54" t="s">
        <v>1346</v>
      </c>
      <c r="J4" s="60" t="s">
        <v>1357</v>
      </c>
      <c r="K4" s="69" t="s">
        <v>1358</v>
      </c>
      <c r="L4" s="55"/>
      <c r="M4" s="56" t="s">
        <v>1359</v>
      </c>
      <c r="N4" s="57" t="s">
        <v>1360</v>
      </c>
      <c r="O4" s="78" t="s">
        <v>146</v>
      </c>
      <c r="P4" s="59" t="s">
        <v>146</v>
      </c>
      <c r="Q4" s="60" t="s">
        <v>1351</v>
      </c>
      <c r="R4" s="77" t="str">
        <f>VLOOKUP(Sheet_1_Table_1_133[[#This Row],[Learning Domain]],[14]List!$A$7:$B$12,2,0)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WEEKDAY([8]!Sheet_1_Table_1_13[[#This Row],[Lesson 3
Date 
(DD-MMM-YYYY)]])</f>
        <v>#REF!</v>
      </c>
      <c r="AW4" s="65">
        <v>0.64583333333333337</v>
      </c>
      <c r="AX4" s="66">
        <v>0.70833333333333337</v>
      </c>
      <c r="AY4" s="67" t="s">
        <v>147</v>
      </c>
      <c r="AZ4" s="68">
        <v>46307</v>
      </c>
      <c r="BA4" s="64" t="e">
        <f>WEEKDAY([8]!Sheet_1_Table_1_13[[#This Row],[Lesson 4
Date 
(DD-MMM-YYYY)]])</f>
        <v>#REF!</v>
      </c>
      <c r="BB4" s="65">
        <v>0.64583333333333337</v>
      </c>
      <c r="BC4" s="66">
        <v>0.70833333333333337</v>
      </c>
      <c r="BD4" s="67" t="s">
        <v>147</v>
      </c>
      <c r="BE4" s="68">
        <v>46321</v>
      </c>
      <c r="BF4" s="64" t="e">
        <f>WEEKDAY([8]!Sheet_1_Table_1_13[[#This Row],[Lesson 5
Date 
(DD-MMM-YYYY)]])</f>
        <v>#REF!</v>
      </c>
      <c r="BG4" s="65">
        <v>0.64583333333333337</v>
      </c>
      <c r="BH4" s="66">
        <v>0.70833333333333337</v>
      </c>
      <c r="BI4" s="67" t="s">
        <v>147</v>
      </c>
      <c r="BJ4" s="68">
        <v>46328</v>
      </c>
      <c r="BK4" s="64" t="e">
        <f>WEEKDAY([8]!Sheet_1_Table_1_13[[#This Row],[Lesson 6
Date 
(DD-MMM-YYYY)]])</f>
        <v>#REF!</v>
      </c>
      <c r="BL4" s="65">
        <v>0.64583333333333337</v>
      </c>
      <c r="BM4" s="66">
        <v>0.70833333333333337</v>
      </c>
      <c r="BN4" s="67" t="s">
        <v>147</v>
      </c>
      <c r="BO4" s="54" t="s">
        <v>291</v>
      </c>
      <c r="BP4" s="69" t="s">
        <v>1352</v>
      </c>
      <c r="BQ4" s="69" t="s">
        <v>406</v>
      </c>
      <c r="BR4" s="53" t="s">
        <v>1353</v>
      </c>
      <c r="BS4" s="52"/>
      <c r="BT4" s="56"/>
      <c r="BU4" s="56"/>
      <c r="BV4" s="70"/>
      <c r="BW4" s="60"/>
      <c r="BX4" s="71"/>
      <c r="BY4" s="56" t="s">
        <v>184</v>
      </c>
      <c r="BZ4" s="56"/>
      <c r="CA4" s="56" t="s">
        <v>184</v>
      </c>
      <c r="CB4" s="72"/>
      <c r="CC4" s="72"/>
      <c r="CD4" s="71"/>
      <c r="CE4" s="60" t="s">
        <v>1354</v>
      </c>
      <c r="CF4" s="164" t="s">
        <v>1355</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1361</v>
      </c>
      <c r="D5" s="50" t="s">
        <v>1362</v>
      </c>
      <c r="E5" s="51">
        <v>5736</v>
      </c>
      <c r="F5" s="52" t="s">
        <v>134</v>
      </c>
      <c r="G5" s="53" t="s">
        <v>157</v>
      </c>
      <c r="H5" s="59" t="s">
        <v>1345</v>
      </c>
      <c r="I5" s="54" t="s">
        <v>1346</v>
      </c>
      <c r="J5" s="60" t="s">
        <v>1363</v>
      </c>
      <c r="K5" s="69" t="s">
        <v>1364</v>
      </c>
      <c r="L5" s="55" t="s">
        <v>1365</v>
      </c>
      <c r="M5" s="56" t="s">
        <v>1366</v>
      </c>
      <c r="N5" s="57" t="s">
        <v>1367</v>
      </c>
      <c r="O5" s="78" t="s">
        <v>146</v>
      </c>
      <c r="P5" s="59" t="s">
        <v>146</v>
      </c>
      <c r="Q5" s="60" t="s">
        <v>1351</v>
      </c>
      <c r="R5" s="61" t="str">
        <f>VLOOKUP(Sheet_1_Table_1_133[[#This Row],[Learning Domain]],[14]List!$A$7:$B$12,2,0)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WEEKDAY([8]!Sheet_1_Table_1_13[[#This Row],[Lesson 3
Date 
(DD-MMM-YYYY)]])</f>
        <v>#REF!</v>
      </c>
      <c r="AW5" s="65">
        <v>0.5625</v>
      </c>
      <c r="AX5" s="66">
        <v>0.625</v>
      </c>
      <c r="AY5" s="67" t="s">
        <v>147</v>
      </c>
      <c r="AZ5" s="68">
        <v>46316</v>
      </c>
      <c r="BA5" s="64" t="e">
        <f>WEEKDAY([8]!Sheet_1_Table_1_13[[#This Row],[Lesson 4
Date 
(DD-MMM-YYYY)]])</f>
        <v>#REF!</v>
      </c>
      <c r="BB5" s="65">
        <v>0.5625</v>
      </c>
      <c r="BC5" s="66">
        <v>0.625</v>
      </c>
      <c r="BD5" s="67" t="s">
        <v>147</v>
      </c>
      <c r="BE5" s="63">
        <v>46323</v>
      </c>
      <c r="BF5" s="165" t="e">
        <f>WEEKDAY([8]!Sheet_1_Table_1_13[[#This Row],[Lesson 5
Date 
(DD-MMM-YYYY)]])</f>
        <v>#REF!</v>
      </c>
      <c r="BG5" s="65">
        <v>0.5625</v>
      </c>
      <c r="BH5" s="66">
        <v>0.625</v>
      </c>
      <c r="BI5" s="67" t="s">
        <v>147</v>
      </c>
      <c r="BJ5" s="68">
        <v>46330</v>
      </c>
      <c r="BK5" s="165" t="e">
        <f>WEEKDAY([8]!Sheet_1_Table_1_13[[#This Row],[Lesson 6
Date 
(DD-MMM-YYYY)]])</f>
        <v>#REF!</v>
      </c>
      <c r="BL5" s="65">
        <v>0.5625</v>
      </c>
      <c r="BM5" s="66">
        <v>0.625</v>
      </c>
      <c r="BN5" s="67" t="s">
        <v>147</v>
      </c>
      <c r="BO5" s="54" t="s">
        <v>291</v>
      </c>
      <c r="BP5" s="69" t="s">
        <v>1368</v>
      </c>
      <c r="BQ5" s="69" t="s">
        <v>1369</v>
      </c>
      <c r="BR5" s="53" t="s">
        <v>1370</v>
      </c>
      <c r="BS5" s="52"/>
      <c r="BT5" s="56"/>
      <c r="BU5" s="56"/>
      <c r="BV5" s="70"/>
      <c r="BW5" s="60"/>
      <c r="BX5" s="71"/>
      <c r="BY5" s="56" t="s">
        <v>184</v>
      </c>
      <c r="BZ5" s="56"/>
      <c r="CA5" s="56" t="s">
        <v>184</v>
      </c>
      <c r="CB5" s="72"/>
      <c r="CC5" s="72"/>
      <c r="CD5" s="71"/>
      <c r="CE5" s="60" t="s">
        <v>1354</v>
      </c>
      <c r="CF5" s="164" t="s">
        <v>1355</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1361</v>
      </c>
      <c r="D6" s="50" t="s">
        <v>1362</v>
      </c>
      <c r="E6" s="51">
        <v>5737</v>
      </c>
      <c r="F6" s="52" t="s">
        <v>134</v>
      </c>
      <c r="G6" s="53" t="s">
        <v>157</v>
      </c>
      <c r="H6" s="59" t="s">
        <v>1345</v>
      </c>
      <c r="I6" s="54" t="s">
        <v>1346</v>
      </c>
      <c r="J6" s="60" t="s">
        <v>1363</v>
      </c>
      <c r="K6" s="69" t="s">
        <v>1364</v>
      </c>
      <c r="L6" s="55" t="s">
        <v>1371</v>
      </c>
      <c r="M6" s="56" t="s">
        <v>1366</v>
      </c>
      <c r="N6" s="57" t="s">
        <v>1367</v>
      </c>
      <c r="O6" s="78" t="s">
        <v>146</v>
      </c>
      <c r="P6" s="59" t="s">
        <v>146</v>
      </c>
      <c r="Q6" s="60" t="s">
        <v>1351</v>
      </c>
      <c r="R6" s="61" t="str">
        <f>VLOOKUP(Sheet_1_Table_1_133[[#This Row],[Learning Domain]],[14]List!$A$7:$B$12,2,0)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WEEKDAY([8]!Sheet_1_Table_1_13[[#This Row],[Lesson 3
Date 
(DD-MMM-YYYY)]])</f>
        <v>#REF!</v>
      </c>
      <c r="AW6" s="65">
        <v>0.64583333333333337</v>
      </c>
      <c r="AX6" s="66">
        <v>0.70833333333333337</v>
      </c>
      <c r="AY6" s="67" t="s">
        <v>147</v>
      </c>
      <c r="AZ6" s="68">
        <v>46316</v>
      </c>
      <c r="BA6" s="64" t="e">
        <f>WEEKDAY([8]!Sheet_1_Table_1_13[[#This Row],[Lesson 4
Date 
(DD-MMM-YYYY)]])</f>
        <v>#REF!</v>
      </c>
      <c r="BB6" s="65">
        <v>0.64583333333333337</v>
      </c>
      <c r="BC6" s="66">
        <v>0.70833333333333337</v>
      </c>
      <c r="BD6" s="67" t="s">
        <v>147</v>
      </c>
      <c r="BE6" s="63">
        <v>46323</v>
      </c>
      <c r="BF6" s="165" t="e">
        <f>WEEKDAY([8]!Sheet_1_Table_1_13[[#This Row],[Lesson 5
Date 
(DD-MMM-YYYY)]])</f>
        <v>#REF!</v>
      </c>
      <c r="BG6" s="65">
        <v>0.64583333333333337</v>
      </c>
      <c r="BH6" s="66">
        <v>0.70833333333333337</v>
      </c>
      <c r="BI6" s="67" t="s">
        <v>147</v>
      </c>
      <c r="BJ6" s="68">
        <v>46330</v>
      </c>
      <c r="BK6" s="165" t="e">
        <f>WEEKDAY([8]!Sheet_1_Table_1_13[[#This Row],[Lesson 6
Date 
(DD-MMM-YYYY)]])</f>
        <v>#REF!</v>
      </c>
      <c r="BL6" s="65">
        <v>0.64583333333333337</v>
      </c>
      <c r="BM6" s="66">
        <v>0.70833333333333337</v>
      </c>
      <c r="BN6" s="67" t="s">
        <v>147</v>
      </c>
      <c r="BO6" s="54" t="s">
        <v>291</v>
      </c>
      <c r="BP6" s="69" t="s">
        <v>1372</v>
      </c>
      <c r="BQ6" s="69" t="s">
        <v>1183</v>
      </c>
      <c r="BR6" s="53" t="s">
        <v>1370</v>
      </c>
      <c r="BS6" s="52"/>
      <c r="BT6" s="56"/>
      <c r="BU6" s="56"/>
      <c r="BV6" s="70"/>
      <c r="BW6" s="60"/>
      <c r="BX6" s="71"/>
      <c r="BY6" s="56" t="s">
        <v>149</v>
      </c>
      <c r="BZ6" s="56"/>
      <c r="CA6" s="56" t="s">
        <v>149</v>
      </c>
      <c r="CB6" s="72"/>
      <c r="CC6" s="72"/>
      <c r="CD6" s="71"/>
      <c r="CE6" s="60" t="s">
        <v>1354</v>
      </c>
      <c r="CF6" s="164" t="s">
        <v>1355</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1373</v>
      </c>
      <c r="D7" s="50" t="s">
        <v>174</v>
      </c>
      <c r="E7" s="51">
        <v>5738</v>
      </c>
      <c r="F7" s="52" t="s">
        <v>134</v>
      </c>
      <c r="G7" s="53" t="s">
        <v>157</v>
      </c>
      <c r="H7" s="59" t="s">
        <v>1374</v>
      </c>
      <c r="I7" s="54" t="s">
        <v>1375</v>
      </c>
      <c r="J7" s="60" t="s">
        <v>1376</v>
      </c>
      <c r="K7" s="69" t="s">
        <v>1377</v>
      </c>
      <c r="L7" s="55"/>
      <c r="M7" s="56" t="s">
        <v>1378</v>
      </c>
      <c r="N7" s="57" t="s">
        <v>1379</v>
      </c>
      <c r="O7" s="78" t="s">
        <v>146</v>
      </c>
      <c r="P7" s="59" t="s">
        <v>146</v>
      </c>
      <c r="Q7" s="60" t="s">
        <v>1351</v>
      </c>
      <c r="R7" s="77" t="str">
        <f>VLOOKUP(Sheet_1_Table_1_133[[#This Row],[Learning Domain]],[14]List!$A$7:$B$12,2,0)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1219</v>
      </c>
      <c r="AP7" s="68"/>
      <c r="AQ7" s="64">
        <f>WEEKDAY(Sheet_1_Table_1_133[[#This Row],[Lesson 2
Date 
(DD-MMM-YYYY)]]
)</f>
        <v>7</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t="s">
        <v>163</v>
      </c>
      <c r="BP7" s="69" t="s">
        <v>1380</v>
      </c>
      <c r="BQ7" s="69" t="s">
        <v>1183</v>
      </c>
      <c r="BR7" s="137" t="s">
        <v>1381</v>
      </c>
      <c r="BS7" s="52"/>
      <c r="BT7" s="56"/>
      <c r="BU7" s="56"/>
      <c r="BV7" s="70"/>
      <c r="BW7" s="60"/>
      <c r="BX7" s="71"/>
      <c r="BY7" s="56" t="s">
        <v>184</v>
      </c>
      <c r="BZ7" s="56"/>
      <c r="CA7" s="56" t="s">
        <v>184</v>
      </c>
      <c r="CB7" s="72"/>
      <c r="CC7" s="72"/>
      <c r="CD7" s="71"/>
      <c r="CE7" s="60" t="s">
        <v>1354</v>
      </c>
      <c r="CF7" s="164" t="s">
        <v>1355</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1382</v>
      </c>
      <c r="D8" s="50" t="s">
        <v>174</v>
      </c>
      <c r="E8" s="51">
        <v>5739</v>
      </c>
      <c r="F8" s="52" t="s">
        <v>134</v>
      </c>
      <c r="G8" s="53" t="s">
        <v>157</v>
      </c>
      <c r="H8" s="59" t="s">
        <v>1374</v>
      </c>
      <c r="I8" s="54" t="s">
        <v>1375</v>
      </c>
      <c r="J8" s="60" t="s">
        <v>1383</v>
      </c>
      <c r="K8" s="69" t="s">
        <v>1384</v>
      </c>
      <c r="L8" s="55"/>
      <c r="M8" s="56" t="s">
        <v>1385</v>
      </c>
      <c r="N8" s="57" t="s">
        <v>1386</v>
      </c>
      <c r="O8" s="78" t="s">
        <v>146</v>
      </c>
      <c r="P8" s="59" t="s">
        <v>146</v>
      </c>
      <c r="Q8" s="60" t="s">
        <v>1351</v>
      </c>
      <c r="R8" s="61" t="str">
        <f>VLOOKUP(Sheet_1_Table_1_133[[#This Row],[Learning Domain]],[14]List!$A$7:$B$12,2,0)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82" t="s">
        <v>379</v>
      </c>
      <c r="AP8" s="68"/>
      <c r="AQ8" s="64">
        <f>WEEKDAY(Sheet_1_Table_1_133[[#This Row],[Lesson 2
Date 
(DD-MMM-YYYY)]]
)</f>
        <v>7</v>
      </c>
      <c r="AR8" s="65"/>
      <c r="AS8" s="66"/>
      <c r="AT8" s="66"/>
      <c r="AU8" s="63"/>
      <c r="AV8" s="64" t="e">
        <f>WEEKDAY([8]!Sheet_1_Table_1_13[[#This Row],[Lesson 3
Date 
(DD-MMM-YYYY)]])</f>
        <v>#REF!</v>
      </c>
      <c r="AW8" s="65"/>
      <c r="AX8" s="66"/>
      <c r="AY8" s="67"/>
      <c r="AZ8" s="68"/>
      <c r="BA8" s="64" t="e">
        <f>WEEKDAY([8]!Sheet_1_Table_1_13[[#This Row],[Lesson 4
Date 
(DD-MMM-YYYY)]])</f>
        <v>#REF!</v>
      </c>
      <c r="BB8" s="65"/>
      <c r="BC8" s="66"/>
      <c r="BD8" s="66"/>
      <c r="BE8" s="63"/>
      <c r="BF8" s="64" t="e">
        <f>WEEKDAY([8]!Sheet_1_Table_1_13[[#This Row],[Lesson 5
Date 
(DD-MMM-YYYY)]])</f>
        <v>#REF!</v>
      </c>
      <c r="BG8" s="65"/>
      <c r="BH8" s="66"/>
      <c r="BI8" s="67"/>
      <c r="BJ8" s="68"/>
      <c r="BK8" s="64" t="e">
        <f>WEEKDAY([8]!Sheet_1_Table_1_13[[#This Row],[Lesson 6
Date 
(DD-MMM-YYYY)]])</f>
        <v>#REF!</v>
      </c>
      <c r="BL8" s="65"/>
      <c r="BM8" s="66"/>
      <c r="BN8" s="66"/>
      <c r="BO8" s="54" t="s">
        <v>163</v>
      </c>
      <c r="BP8" s="69" t="s">
        <v>1380</v>
      </c>
      <c r="BQ8" s="69" t="s">
        <v>1183</v>
      </c>
      <c r="BR8" s="137" t="s">
        <v>1381</v>
      </c>
      <c r="BS8" s="52"/>
      <c r="BT8" s="56"/>
      <c r="BU8" s="56"/>
      <c r="BV8" s="70"/>
      <c r="BW8" s="60"/>
      <c r="BX8" s="71"/>
      <c r="BY8" s="56" t="s">
        <v>149</v>
      </c>
      <c r="BZ8" s="56"/>
      <c r="CA8" s="56" t="s">
        <v>149</v>
      </c>
      <c r="CB8" s="72"/>
      <c r="CC8" s="72"/>
      <c r="CD8" s="71"/>
      <c r="CE8" s="60" t="s">
        <v>1354</v>
      </c>
      <c r="CF8" s="164" t="s">
        <v>1355</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1387</v>
      </c>
      <c r="D9" s="50" t="s">
        <v>174</v>
      </c>
      <c r="E9" s="51">
        <v>5740</v>
      </c>
      <c r="F9" s="52" t="s">
        <v>134</v>
      </c>
      <c r="G9" s="53" t="s">
        <v>157</v>
      </c>
      <c r="H9" s="59" t="s">
        <v>1374</v>
      </c>
      <c r="I9" s="54" t="s">
        <v>1375</v>
      </c>
      <c r="J9" s="60" t="s">
        <v>1388</v>
      </c>
      <c r="K9" s="69" t="s">
        <v>1389</v>
      </c>
      <c r="L9" s="55"/>
      <c r="M9" s="56" t="s">
        <v>1390</v>
      </c>
      <c r="N9" s="57" t="s">
        <v>1391</v>
      </c>
      <c r="O9" s="78" t="s">
        <v>146</v>
      </c>
      <c r="P9" s="59" t="s">
        <v>146</v>
      </c>
      <c r="Q9" s="60" t="s">
        <v>1351</v>
      </c>
      <c r="R9" s="77" t="str">
        <f>VLOOKUP(Sheet_1_Table_1_133[[#This Row],[Learning Domain]],[14]List!$A$7:$B$12,2,0)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1219</v>
      </c>
      <c r="AP9" s="68"/>
      <c r="AQ9" s="64">
        <f>WEEKDAY(Sheet_1_Table_1_133[[#This Row],[Lesson 2
Date 
(DD-MMM-YYYY)]]
)</f>
        <v>7</v>
      </c>
      <c r="AR9" s="65"/>
      <c r="AS9" s="66"/>
      <c r="AT9" s="66"/>
      <c r="AU9" s="63"/>
      <c r="AV9" s="64" t="e">
        <f>WEEKDAY([8]!Sheet_1_Table_1_13[[#This Row],[Lesson 3
Date 
(DD-MMM-YYYY)]])</f>
        <v>#REF!</v>
      </c>
      <c r="AW9" s="65"/>
      <c r="AX9" s="66"/>
      <c r="AY9" s="67"/>
      <c r="AZ9" s="68"/>
      <c r="BA9" s="64" t="e">
        <f>WEEKDAY([8]!Sheet_1_Table_1_13[[#This Row],[Lesson 4
Date 
(DD-MMM-YYYY)]])</f>
        <v>#REF!</v>
      </c>
      <c r="BB9" s="65"/>
      <c r="BC9" s="66"/>
      <c r="BD9" s="66"/>
      <c r="BE9" s="63"/>
      <c r="BF9" s="64" t="e">
        <f>WEEKDAY([8]!Sheet_1_Table_1_13[[#This Row],[Lesson 5
Date 
(DD-MMM-YYYY)]])</f>
        <v>#REF!</v>
      </c>
      <c r="BG9" s="65"/>
      <c r="BH9" s="66"/>
      <c r="BI9" s="67"/>
      <c r="BJ9" s="68"/>
      <c r="BK9" s="64" t="e">
        <f>WEEKDAY([8]!Sheet_1_Table_1_13[[#This Row],[Lesson 6
Date 
(DD-MMM-YYYY)]])</f>
        <v>#REF!</v>
      </c>
      <c r="BL9" s="65"/>
      <c r="BM9" s="66"/>
      <c r="BN9" s="66"/>
      <c r="BO9" s="54" t="s">
        <v>291</v>
      </c>
      <c r="BP9" s="69" t="s">
        <v>1392</v>
      </c>
      <c r="BQ9" s="69" t="s">
        <v>944</v>
      </c>
      <c r="BR9" s="137" t="s">
        <v>1393</v>
      </c>
      <c r="BS9" s="52"/>
      <c r="BT9" s="56"/>
      <c r="BU9" s="56"/>
      <c r="BV9" s="70"/>
      <c r="BW9" s="60"/>
      <c r="BX9" s="71"/>
      <c r="BY9" s="56"/>
      <c r="BZ9" s="56"/>
      <c r="CA9" s="56"/>
      <c r="CB9" s="72"/>
      <c r="CC9" s="72"/>
      <c r="CD9" s="71"/>
      <c r="CE9" s="60" t="s">
        <v>1354</v>
      </c>
      <c r="CF9" s="164" t="s">
        <v>1355</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1394</v>
      </c>
      <c r="D10" s="50" t="s">
        <v>174</v>
      </c>
      <c r="E10" s="51">
        <v>5741</v>
      </c>
      <c r="F10" s="52" t="s">
        <v>134</v>
      </c>
      <c r="G10" s="53" t="s">
        <v>157</v>
      </c>
      <c r="H10" s="59" t="s">
        <v>1374</v>
      </c>
      <c r="I10" s="54" t="s">
        <v>1375</v>
      </c>
      <c r="J10" s="60" t="s">
        <v>1395</v>
      </c>
      <c r="K10" s="69" t="s">
        <v>1396</v>
      </c>
      <c r="L10" s="55"/>
      <c r="M10" s="56" t="s">
        <v>1397</v>
      </c>
      <c r="N10" s="57" t="s">
        <v>1398</v>
      </c>
      <c r="O10" s="78" t="s">
        <v>146</v>
      </c>
      <c r="P10" s="59" t="s">
        <v>146</v>
      </c>
      <c r="Q10" s="60" t="s">
        <v>1351</v>
      </c>
      <c r="R10" s="61" t="str">
        <f>VLOOKUP(Sheet_1_Table_1_133[[#This Row],[Learning Domain]],[14]List!$A$7:$B$12,2,0)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1399</v>
      </c>
      <c r="AP10" s="68"/>
      <c r="AQ10" s="64">
        <f>WEEKDAY(Sheet_1_Table_1_133[[#This Row],[Lesson 2
Date 
(DD-MMM-YYYY)]]
)</f>
        <v>7</v>
      </c>
      <c r="AR10" s="65"/>
      <c r="AS10" s="66"/>
      <c r="AT10" s="66"/>
      <c r="AU10" s="63"/>
      <c r="AV10" s="64" t="e">
        <f>WEEKDAY([8]!Sheet_1_Table_1_13[[#This Row],[Lesson 3
Date 
(DD-MMM-YYYY)]])</f>
        <v>#REF!</v>
      </c>
      <c r="AW10" s="65"/>
      <c r="AX10" s="66"/>
      <c r="AY10" s="67"/>
      <c r="AZ10" s="68"/>
      <c r="BA10" s="64" t="e">
        <f>WEEKDAY([8]!Sheet_1_Table_1_13[[#This Row],[Lesson 4
Date 
(DD-MMM-YYYY)]])</f>
        <v>#REF!</v>
      </c>
      <c r="BB10" s="65"/>
      <c r="BC10" s="66"/>
      <c r="BD10" s="66"/>
      <c r="BE10" s="63"/>
      <c r="BF10" s="64" t="e">
        <f>WEEKDAY([8]!Sheet_1_Table_1_13[[#This Row],[Lesson 5
Date 
(DD-MMM-YYYY)]])</f>
        <v>#REF!</v>
      </c>
      <c r="BG10" s="65"/>
      <c r="BH10" s="66"/>
      <c r="BI10" s="67"/>
      <c r="BJ10" s="68"/>
      <c r="BK10" s="64" t="e">
        <f>WEEKDAY([8]!Sheet_1_Table_1_13[[#This Row],[Lesson 6
Date 
(DD-MMM-YYYY)]])</f>
        <v>#REF!</v>
      </c>
      <c r="BL10" s="65"/>
      <c r="BM10" s="66"/>
      <c r="BN10" s="66"/>
      <c r="BO10" s="54" t="s">
        <v>291</v>
      </c>
      <c r="BP10" s="69" t="s">
        <v>1392</v>
      </c>
      <c r="BQ10" s="69" t="s">
        <v>944</v>
      </c>
      <c r="BR10" s="137" t="s">
        <v>1393</v>
      </c>
      <c r="BS10" s="52"/>
      <c r="BT10" s="56"/>
      <c r="BU10" s="56"/>
      <c r="BV10" s="70"/>
      <c r="BW10" s="60"/>
      <c r="BX10" s="71"/>
      <c r="BY10" s="56"/>
      <c r="BZ10" s="56"/>
      <c r="CA10" s="56"/>
      <c r="CB10" s="72"/>
      <c r="CC10" s="72"/>
      <c r="CD10" s="71"/>
      <c r="CE10" s="60" t="s">
        <v>1354</v>
      </c>
      <c r="CF10" s="164" t="s">
        <v>1355</v>
      </c>
      <c r="CG10" s="56"/>
      <c r="CH10" s="57"/>
      <c r="CI10" s="52" t="s">
        <v>1400</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1401</v>
      </c>
      <c r="D11" s="50" t="s">
        <v>174</v>
      </c>
      <c r="E11" s="51">
        <v>5742</v>
      </c>
      <c r="F11" s="52" t="s">
        <v>134</v>
      </c>
      <c r="G11" s="53" t="s">
        <v>157</v>
      </c>
      <c r="H11" s="59" t="s">
        <v>1402</v>
      </c>
      <c r="I11" s="54" t="s">
        <v>1403</v>
      </c>
      <c r="J11" s="60" t="s">
        <v>1404</v>
      </c>
      <c r="K11" s="69" t="s">
        <v>1405</v>
      </c>
      <c r="L11" s="55"/>
      <c r="M11" s="56" t="s">
        <v>1406</v>
      </c>
      <c r="N11" s="57" t="s">
        <v>1407</v>
      </c>
      <c r="O11" s="78" t="s">
        <v>146</v>
      </c>
      <c r="P11" s="59" t="s">
        <v>146</v>
      </c>
      <c r="Q11" s="60" t="s">
        <v>1351</v>
      </c>
      <c r="R11" s="77" t="str">
        <f>VLOOKUP(Sheet_1_Table_1_133[[#This Row],[Learning Domain]],[14]List!$A$7:$B$12,2,0)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244</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1408</v>
      </c>
      <c r="AP11" s="68"/>
      <c r="AQ11" s="64">
        <f>WEEKDAY(Sheet_1_Table_1_133[[#This Row],[Lesson 2
Date 
(DD-MMM-YYYY)]]
)</f>
        <v>7</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t="s">
        <v>1409</v>
      </c>
      <c r="BQ11" s="69"/>
      <c r="BR11" s="137"/>
      <c r="BS11" s="52"/>
      <c r="BT11" s="56"/>
      <c r="BU11" s="56"/>
      <c r="BV11" s="70"/>
      <c r="BW11" s="60"/>
      <c r="BX11" s="71"/>
      <c r="BY11" s="167">
        <v>0.58333333333333337</v>
      </c>
      <c r="BZ11" s="168" t="s">
        <v>1410</v>
      </c>
      <c r="CA11" s="56"/>
      <c r="CB11" s="72"/>
      <c r="CC11" s="72"/>
      <c r="CD11" s="71"/>
      <c r="CE11" s="60" t="s">
        <v>1354</v>
      </c>
      <c r="CF11" s="164" t="s">
        <v>1355</v>
      </c>
      <c r="CG11" s="56"/>
      <c r="CH11" s="57"/>
      <c r="CI11" s="52" t="s">
        <v>1400</v>
      </c>
      <c r="CJ11" s="52" t="s">
        <v>142</v>
      </c>
      <c r="CK11" s="52" t="s">
        <v>142</v>
      </c>
      <c r="CL11" s="52" t="s">
        <v>142</v>
      </c>
      <c r="CM11" s="52" t="s">
        <v>146</v>
      </c>
      <c r="CN11" s="52" t="s">
        <v>142</v>
      </c>
      <c r="CO11" s="52" t="s">
        <v>142</v>
      </c>
      <c r="CP11" s="52" t="s">
        <v>142</v>
      </c>
      <c r="CQ11" s="52" t="s">
        <v>142</v>
      </c>
      <c r="CR11" s="52" t="s">
        <v>142</v>
      </c>
      <c r="CS11" s="52" t="s">
        <v>142</v>
      </c>
      <c r="CT11" s="52" t="s">
        <v>1400</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1411</v>
      </c>
      <c r="D12" s="50" t="s">
        <v>174</v>
      </c>
      <c r="E12" s="51">
        <v>5743</v>
      </c>
      <c r="F12" s="52" t="s">
        <v>134</v>
      </c>
      <c r="G12" s="53" t="s">
        <v>157</v>
      </c>
      <c r="H12" s="59" t="s">
        <v>1412</v>
      </c>
      <c r="I12" s="54" t="s">
        <v>1346</v>
      </c>
      <c r="J12" s="60" t="s">
        <v>1413</v>
      </c>
      <c r="K12" s="69" t="s">
        <v>1414</v>
      </c>
      <c r="L12" s="55"/>
      <c r="M12" s="56" t="s">
        <v>1415</v>
      </c>
      <c r="N12" s="57" t="s">
        <v>1416</v>
      </c>
      <c r="O12" s="78" t="s">
        <v>146</v>
      </c>
      <c r="P12" s="59" t="s">
        <v>146</v>
      </c>
      <c r="Q12" s="60" t="s">
        <v>1351</v>
      </c>
      <c r="R12" s="61" t="str">
        <f>VLOOKUP(Sheet_1_Table_1_133[[#This Row],[Learning Domain]],[14]List!$A$7:$B$12,2,0)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1219</v>
      </c>
      <c r="AP12" s="68"/>
      <c r="AQ12" s="64">
        <f>WEEKDAY(Sheet_1_Table_1_133[[#This Row],[Lesson 2
Date 
(DD-MMM-YYYY)]]
)</f>
        <v>7</v>
      </c>
      <c r="AR12" s="65"/>
      <c r="AS12" s="66"/>
      <c r="AT12" s="66"/>
      <c r="AU12" s="63"/>
      <c r="AV12" s="64" t="e">
        <f>WEEKDAY([8]!Sheet_1_Table_1_13[[#This Row],[Lesson 3
Date 
(DD-MMM-YYYY)]])</f>
        <v>#REF!</v>
      </c>
      <c r="AW12" s="65"/>
      <c r="AX12" s="66"/>
      <c r="AY12" s="67"/>
      <c r="AZ12" s="68"/>
      <c r="BA12" s="64" t="e">
        <f>WEEKDAY([8]!Sheet_1_Table_1_13[[#This Row],[Lesson 4
Date 
(DD-MMM-YYYY)]])</f>
        <v>#REF!</v>
      </c>
      <c r="BB12" s="65"/>
      <c r="BC12" s="66"/>
      <c r="BD12" s="66"/>
      <c r="BE12" s="63"/>
      <c r="BF12" s="64" t="e">
        <f>WEEKDAY([8]!Sheet_1_Table_1_13[[#This Row],[Lesson 5
Date 
(DD-MMM-YYYY)]])</f>
        <v>#REF!</v>
      </c>
      <c r="BG12" s="65"/>
      <c r="BH12" s="66"/>
      <c r="BI12" s="67"/>
      <c r="BJ12" s="68"/>
      <c r="BK12" s="64" t="e">
        <f>WEEKDAY([8]!Sheet_1_Table_1_13[[#This Row],[Lesson 6
Date 
(DD-MMM-YYYY)]])</f>
        <v>#REF!</v>
      </c>
      <c r="BL12" s="65"/>
      <c r="BM12" s="66"/>
      <c r="BN12" s="66"/>
      <c r="BO12" s="54" t="s">
        <v>163</v>
      </c>
      <c r="BP12" s="69" t="s">
        <v>1417</v>
      </c>
      <c r="BQ12" s="69" t="s">
        <v>1052</v>
      </c>
      <c r="BR12" s="137" t="s">
        <v>1418</v>
      </c>
      <c r="BS12" s="52"/>
      <c r="BT12" s="56"/>
      <c r="BU12" s="56"/>
      <c r="BV12" s="70"/>
      <c r="BW12" s="60"/>
      <c r="BX12" s="71"/>
      <c r="BY12" s="56"/>
      <c r="BZ12" s="56"/>
      <c r="CA12" s="56"/>
      <c r="CB12" s="72"/>
      <c r="CC12" s="72"/>
      <c r="CD12" s="71"/>
      <c r="CE12" s="60" t="s">
        <v>1354</v>
      </c>
      <c r="CF12" s="164" t="s">
        <v>1355</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1419</v>
      </c>
      <c r="D13" s="50" t="s">
        <v>204</v>
      </c>
      <c r="E13" s="51">
        <v>5744</v>
      </c>
      <c r="F13" s="52" t="s">
        <v>134</v>
      </c>
      <c r="G13" s="53" t="s">
        <v>157</v>
      </c>
      <c r="H13" s="59" t="s">
        <v>1374</v>
      </c>
      <c r="I13" s="54" t="s">
        <v>1375</v>
      </c>
      <c r="J13" s="60" t="s">
        <v>1420</v>
      </c>
      <c r="K13" s="69" t="s">
        <v>1421</v>
      </c>
      <c r="L13" s="55"/>
      <c r="M13" s="56" t="s">
        <v>1422</v>
      </c>
      <c r="N13" s="57" t="s">
        <v>1423</v>
      </c>
      <c r="O13" s="78" t="s">
        <v>146</v>
      </c>
      <c r="P13" s="59" t="s">
        <v>146</v>
      </c>
      <c r="Q13" s="60" t="s">
        <v>1351</v>
      </c>
      <c r="R13" s="61" t="str">
        <f>VLOOKUP(Sheet_1_Table_1_133[[#This Row],[Learning Domain]],[14]List!$A$7:$B$12,2,0)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1219</v>
      </c>
      <c r="AP13" s="68"/>
      <c r="AQ13" s="64">
        <f>WEEKDAY(Sheet_1_Table_1_133[[#This Row],[Lesson 2
Date 
(DD-MMM-YYYY)]]
)</f>
        <v>7</v>
      </c>
      <c r="AR13" s="65"/>
      <c r="AS13" s="66"/>
      <c r="AT13" s="66"/>
      <c r="AU13" s="63"/>
      <c r="AV13" s="64" t="e">
        <f>WEEKDAY([8]!Sheet_1_Table_1_13[[#This Row],[Lesson 3
Date 
(DD-MMM-YYYY)]])</f>
        <v>#REF!</v>
      </c>
      <c r="AW13" s="65"/>
      <c r="AX13" s="66"/>
      <c r="AY13" s="67"/>
      <c r="AZ13" s="68"/>
      <c r="BA13" s="64" t="e">
        <f>WEEKDAY([8]!Sheet_1_Table_1_13[[#This Row],[Lesson 4
Date 
(DD-MMM-YYYY)]])</f>
        <v>#REF!</v>
      </c>
      <c r="BB13" s="65"/>
      <c r="BC13" s="66"/>
      <c r="BD13" s="66"/>
      <c r="BE13" s="63"/>
      <c r="BF13" s="64" t="e">
        <f>WEEKDAY([8]!Sheet_1_Table_1_13[[#This Row],[Lesson 5
Date 
(DD-MMM-YYYY)]])</f>
        <v>#REF!</v>
      </c>
      <c r="BG13" s="65"/>
      <c r="BH13" s="66"/>
      <c r="BI13" s="67"/>
      <c r="BJ13" s="68"/>
      <c r="BK13" s="64" t="e">
        <f>WEEKDAY([8]!Sheet_1_Table_1_13[[#This Row],[Lesson 6
Date 
(DD-MMM-YYYY)]])</f>
        <v>#REF!</v>
      </c>
      <c r="BL13" s="65"/>
      <c r="BM13" s="66"/>
      <c r="BN13" s="66"/>
      <c r="BO13" s="54" t="s">
        <v>163</v>
      </c>
      <c r="BP13" s="69" t="s">
        <v>1380</v>
      </c>
      <c r="BQ13" s="69" t="s">
        <v>1183</v>
      </c>
      <c r="BR13" s="137" t="s">
        <v>1381</v>
      </c>
      <c r="BS13" s="52"/>
      <c r="BT13" s="56"/>
      <c r="BU13" s="56"/>
      <c r="BV13" s="70"/>
      <c r="BW13" s="60"/>
      <c r="BX13" s="71"/>
      <c r="BY13" s="56"/>
      <c r="BZ13" s="56"/>
      <c r="CA13" s="56"/>
      <c r="CB13" s="72"/>
      <c r="CC13" s="72"/>
      <c r="CD13" s="71"/>
      <c r="CE13" s="60" t="s">
        <v>1354</v>
      </c>
      <c r="CF13" s="164" t="s">
        <v>1355</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1424</v>
      </c>
      <c r="D14" s="50" t="s">
        <v>204</v>
      </c>
      <c r="E14" s="51">
        <v>5745</v>
      </c>
      <c r="F14" s="52" t="s">
        <v>134</v>
      </c>
      <c r="G14" s="53" t="s">
        <v>157</v>
      </c>
      <c r="H14" s="59" t="s">
        <v>1374</v>
      </c>
      <c r="I14" s="54" t="s">
        <v>1375</v>
      </c>
      <c r="J14" s="60" t="s">
        <v>1425</v>
      </c>
      <c r="K14" s="69" t="s">
        <v>1426</v>
      </c>
      <c r="L14" s="55"/>
      <c r="M14" s="56" t="s">
        <v>1427</v>
      </c>
      <c r="N14" s="57" t="s">
        <v>1428</v>
      </c>
      <c r="O14" s="78" t="s">
        <v>146</v>
      </c>
      <c r="P14" s="59" t="s">
        <v>146</v>
      </c>
      <c r="Q14" s="60" t="s">
        <v>1351</v>
      </c>
      <c r="R14" s="77" t="str">
        <f>VLOOKUP(Sheet_1_Table_1_133[[#This Row],[Learning Domain]],[14]List!$A$7:$B$12,2,0)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603</v>
      </c>
      <c r="AP14" s="68"/>
      <c r="AQ14" s="64">
        <f>WEEKDAY(Sheet_1_Table_1_133[[#This Row],[Lesson 2
Date 
(DD-MMM-YYYY)]]
)</f>
        <v>7</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t="s">
        <v>163</v>
      </c>
      <c r="BP14" s="69" t="s">
        <v>1380</v>
      </c>
      <c r="BQ14" s="69" t="s">
        <v>1183</v>
      </c>
      <c r="BR14" s="137" t="s">
        <v>1381</v>
      </c>
      <c r="BS14" s="52"/>
      <c r="BT14" s="56"/>
      <c r="BU14" s="56"/>
      <c r="BV14" s="70"/>
      <c r="BW14" s="60"/>
      <c r="BX14" s="71"/>
      <c r="BY14" s="56"/>
      <c r="BZ14" s="56"/>
      <c r="CA14" s="56"/>
      <c r="CB14" s="72"/>
      <c r="CC14" s="72"/>
      <c r="CD14" s="71"/>
      <c r="CE14" s="60" t="s">
        <v>1354</v>
      </c>
      <c r="CF14" s="164" t="s">
        <v>1355</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1429</v>
      </c>
      <c r="D15" s="50" t="s">
        <v>204</v>
      </c>
      <c r="E15" s="51">
        <v>5746</v>
      </c>
      <c r="F15" s="52" t="s">
        <v>134</v>
      </c>
      <c r="G15" s="53" t="s">
        <v>157</v>
      </c>
      <c r="H15" s="59" t="s">
        <v>1345</v>
      </c>
      <c r="I15" s="54" t="s">
        <v>1430</v>
      </c>
      <c r="J15" s="60" t="s">
        <v>1431</v>
      </c>
      <c r="K15" s="69" t="s">
        <v>1432</v>
      </c>
      <c r="L15" s="55"/>
      <c r="M15" s="56" t="s">
        <v>1433</v>
      </c>
      <c r="N15" s="57" t="s">
        <v>1434</v>
      </c>
      <c r="O15" s="78" t="s">
        <v>146</v>
      </c>
      <c r="P15" s="59" t="s">
        <v>146</v>
      </c>
      <c r="Q15" s="60" t="s">
        <v>1351</v>
      </c>
      <c r="R15" s="77" t="str">
        <f>VLOOKUP(Sheet_1_Table_1_133[[#This Row],[Learning Domain]],[14]List!$A$7:$B$12,2,0)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1219</v>
      </c>
      <c r="AP15" s="68"/>
      <c r="AQ15" s="64">
        <f>WEEKDAY(Sheet_1_Table_1_133[[#This Row],[Lesson 2
Date 
(DD-MMM-YYYY)]]
)</f>
        <v>7</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t="s">
        <v>287</v>
      </c>
      <c r="BP15" s="69" t="s">
        <v>1435</v>
      </c>
      <c r="BQ15" s="69" t="s">
        <v>1436</v>
      </c>
      <c r="BR15" s="57" t="s">
        <v>1437</v>
      </c>
      <c r="BS15" s="52"/>
      <c r="BT15" s="56"/>
      <c r="BU15" s="56"/>
      <c r="BV15" s="70"/>
      <c r="BW15" s="60"/>
      <c r="BX15" s="71"/>
      <c r="BY15" s="56"/>
      <c r="BZ15" s="56"/>
      <c r="CA15" s="56"/>
      <c r="CB15" s="72"/>
      <c r="CC15" s="72"/>
      <c r="CD15" s="71"/>
      <c r="CE15" s="60" t="s">
        <v>1354</v>
      </c>
      <c r="CF15" s="164" t="s">
        <v>1355</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169">
        <v>19</v>
      </c>
      <c r="B16" s="170"/>
      <c r="C16" s="171"/>
      <c r="D16" s="171"/>
      <c r="E16" s="172"/>
      <c r="F16" s="173" t="s">
        <v>134</v>
      </c>
      <c r="G16" s="172" t="s">
        <v>157</v>
      </c>
      <c r="H16" s="174"/>
      <c r="I16" s="175"/>
      <c r="J16" s="176"/>
      <c r="K16" s="177" t="s">
        <v>1438</v>
      </c>
      <c r="L16" s="178"/>
      <c r="M16" s="179" t="s">
        <v>342</v>
      </c>
      <c r="N16" s="180"/>
      <c r="O16" s="162" t="s">
        <v>142</v>
      </c>
      <c r="P16" s="162" t="s">
        <v>142</v>
      </c>
      <c r="Q16" s="176" t="s">
        <v>1351</v>
      </c>
      <c r="R16" s="171" t="str">
        <f>VLOOKUP(Sheet_1_Table_1_133[[#This Row],[Learning Domain]],[14]List!$A$7:$B$12,2,0)</f>
        <v>AES</v>
      </c>
      <c r="S16" s="178">
        <v>0</v>
      </c>
      <c r="T16" s="178">
        <v>0</v>
      </c>
      <c r="U16" s="178">
        <v>0</v>
      </c>
      <c r="V16" s="178">
        <v>0</v>
      </c>
      <c r="W16" s="178">
        <v>0</v>
      </c>
      <c r="X16" s="178">
        <v>0</v>
      </c>
      <c r="Y16" s="178">
        <v>0</v>
      </c>
      <c r="Z16" s="178">
        <v>0</v>
      </c>
      <c r="AA16" s="178">
        <v>0</v>
      </c>
      <c r="AB16" s="172">
        <f>SUM(Sheet_1_Table_1_133[[#This Row],[Leadership LS]:[Career Development  CR]])</f>
        <v>0</v>
      </c>
      <c r="AC16" s="173"/>
      <c r="AD16" s="178"/>
      <c r="AE16" s="178" t="s">
        <v>142</v>
      </c>
      <c r="AF16" s="178" t="s">
        <v>142</v>
      </c>
      <c r="AG16" s="178" t="s">
        <v>142</v>
      </c>
      <c r="AH16" s="178"/>
      <c r="AI16" s="178"/>
      <c r="AJ16" s="183">
        <f>Sheet_1_Table_1_133[[#This Row],[ILP Units Per Session]]*Sheet_1_Table_1_133[[#This Row],[Quota]]</f>
        <v>0</v>
      </c>
      <c r="AK16" s="184"/>
      <c r="AL16" s="185">
        <f>WEEKDAY(Sheet_1_Table_1_133[[#This Row],[Lesson 1 
Date 
(DD-MMM-YYYY)]])</f>
        <v>7</v>
      </c>
      <c r="AM16" s="186"/>
      <c r="AN16" s="187"/>
      <c r="AO16" s="188"/>
      <c r="AP16" s="189"/>
      <c r="AQ16" s="185">
        <f>WEEKDAY(Sheet_1_Table_1_133[[#This Row],[Lesson 2
Date 
(DD-MMM-YYYY)]]
)</f>
        <v>7</v>
      </c>
      <c r="AR16" s="186"/>
      <c r="AS16" s="187"/>
      <c r="AT16" s="187"/>
      <c r="AU16" s="184"/>
      <c r="AV16" s="185" t="e">
        <f>WEEKDAY([8]!Sheet_1_Table_1_13[[#This Row],[Lesson 3
Date 
(DD-MMM-YYYY)]])</f>
        <v>#REF!</v>
      </c>
      <c r="AW16" s="186"/>
      <c r="AX16" s="187"/>
      <c r="AY16" s="188"/>
      <c r="AZ16" s="189"/>
      <c r="BA16" s="185" t="e">
        <f>WEEKDAY([8]!Sheet_1_Table_1_13[[#This Row],[Lesson 4
Date 
(DD-MMM-YYYY)]])</f>
        <v>#REF!</v>
      </c>
      <c r="BB16" s="186"/>
      <c r="BC16" s="187"/>
      <c r="BD16" s="187"/>
      <c r="BE16" s="184"/>
      <c r="BF16" s="185" t="e">
        <f>WEEKDAY([8]!Sheet_1_Table_1_13[[#This Row],[Lesson 5
Date 
(DD-MMM-YYYY)]])</f>
        <v>#REF!</v>
      </c>
      <c r="BG16" s="186"/>
      <c r="BH16" s="187"/>
      <c r="BI16" s="188"/>
      <c r="BJ16" s="189"/>
      <c r="BK16" s="185" t="e">
        <f>WEEKDAY([8]!Sheet_1_Table_1_13[[#This Row],[Lesson 6
Date 
(DD-MMM-YYYY)]])</f>
        <v>#REF!</v>
      </c>
      <c r="BL16" s="186"/>
      <c r="BM16" s="187"/>
      <c r="BN16" s="187"/>
      <c r="BO16" s="190"/>
      <c r="BP16" s="191"/>
      <c r="BQ16" s="178"/>
      <c r="BR16" s="180"/>
      <c r="BS16" s="52"/>
      <c r="BT16" s="56"/>
      <c r="BU16" s="56"/>
      <c r="BV16" s="70"/>
      <c r="BW16" s="60"/>
      <c r="BX16" s="71"/>
      <c r="BY16" s="56"/>
      <c r="BZ16" s="56"/>
      <c r="CA16" s="56"/>
      <c r="CB16" s="72"/>
      <c r="CC16" s="72"/>
      <c r="CD16" s="71"/>
      <c r="CE16" s="60" t="s">
        <v>1439</v>
      </c>
      <c r="CF16" s="164"/>
      <c r="CG16" s="56" t="s">
        <v>1354</v>
      </c>
      <c r="CH16" s="57"/>
      <c r="CI16" s="52" t="s">
        <v>142</v>
      </c>
      <c r="CJ16" s="52" t="s">
        <v>142</v>
      </c>
      <c r="CK16" s="52" t="s">
        <v>142</v>
      </c>
      <c r="CL16" s="52" t="s">
        <v>142</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169">
        <v>20</v>
      </c>
      <c r="B17" s="170"/>
      <c r="C17" s="171"/>
      <c r="D17" s="171"/>
      <c r="E17" s="172"/>
      <c r="F17" s="173" t="s">
        <v>134</v>
      </c>
      <c r="G17" s="172" t="s">
        <v>157</v>
      </c>
      <c r="H17" s="192"/>
      <c r="I17" s="175"/>
      <c r="J17" s="176"/>
      <c r="K17" s="177" t="s">
        <v>1440</v>
      </c>
      <c r="L17" s="178"/>
      <c r="M17" s="179" t="s">
        <v>342</v>
      </c>
      <c r="N17" s="180"/>
      <c r="O17" s="162" t="s">
        <v>142</v>
      </c>
      <c r="P17" s="162" t="s">
        <v>142</v>
      </c>
      <c r="Q17" s="176" t="s">
        <v>1351</v>
      </c>
      <c r="R17" s="193" t="str">
        <f>VLOOKUP(Sheet_1_Table_1_133[[#This Row],[Learning Domain]],[14]List!$A$7:$B$12,2,0)</f>
        <v>AES</v>
      </c>
      <c r="S17" s="178">
        <v>0</v>
      </c>
      <c r="T17" s="178">
        <v>0</v>
      </c>
      <c r="U17" s="178">
        <v>0</v>
      </c>
      <c r="V17" s="178">
        <v>0</v>
      </c>
      <c r="W17" s="178">
        <v>0</v>
      </c>
      <c r="X17" s="178">
        <v>0</v>
      </c>
      <c r="Y17" s="178">
        <v>0</v>
      </c>
      <c r="Z17" s="178">
        <v>0</v>
      </c>
      <c r="AA17" s="178">
        <v>0</v>
      </c>
      <c r="AB17" s="172">
        <f>SUM(Sheet_1_Table_1_133[[#This Row],[Leadership LS]:[Career Development  CR]])</f>
        <v>0</v>
      </c>
      <c r="AC17" s="173"/>
      <c r="AD17" s="178"/>
      <c r="AE17" s="178" t="s">
        <v>142</v>
      </c>
      <c r="AF17" s="178" t="s">
        <v>142</v>
      </c>
      <c r="AG17" s="178" t="s">
        <v>142</v>
      </c>
      <c r="AH17" s="178"/>
      <c r="AI17" s="178"/>
      <c r="AJ17" s="183">
        <f>Sheet_1_Table_1_133[[#This Row],[ILP Units Per Session]]*Sheet_1_Table_1_133[[#This Row],[Quota]]</f>
        <v>0</v>
      </c>
      <c r="AK17" s="184"/>
      <c r="AL17" s="185">
        <f>WEEKDAY(Sheet_1_Table_1_133[[#This Row],[Lesson 1 
Date 
(DD-MMM-YYYY)]])</f>
        <v>7</v>
      </c>
      <c r="AM17" s="186"/>
      <c r="AN17" s="187"/>
      <c r="AO17" s="188"/>
      <c r="AP17" s="189"/>
      <c r="AQ17" s="185">
        <f>WEEKDAY(Sheet_1_Table_1_133[[#This Row],[Lesson 2
Date 
(DD-MMM-YYYY)]]
)</f>
        <v>7</v>
      </c>
      <c r="AR17" s="186"/>
      <c r="AS17" s="187"/>
      <c r="AT17" s="187"/>
      <c r="AU17" s="184"/>
      <c r="AV17" s="185" t="e">
        <f>WEEKDAY([8]!Sheet_1_Table_1_13[[#This Row],[Lesson 3
Date 
(DD-MMM-YYYY)]])</f>
        <v>#REF!</v>
      </c>
      <c r="AW17" s="186"/>
      <c r="AX17" s="187"/>
      <c r="AY17" s="188"/>
      <c r="AZ17" s="189"/>
      <c r="BA17" s="185" t="e">
        <f>WEEKDAY([8]!Sheet_1_Table_1_13[[#This Row],[Lesson 4
Date 
(DD-MMM-YYYY)]])</f>
        <v>#REF!</v>
      </c>
      <c r="BB17" s="186"/>
      <c r="BC17" s="187"/>
      <c r="BD17" s="187"/>
      <c r="BE17" s="184"/>
      <c r="BF17" s="185" t="e">
        <f>WEEKDAY([8]!Sheet_1_Table_1_13[[#This Row],[Lesson 5
Date 
(DD-MMM-YYYY)]])</f>
        <v>#REF!</v>
      </c>
      <c r="BG17" s="186"/>
      <c r="BH17" s="187"/>
      <c r="BI17" s="188"/>
      <c r="BJ17" s="189"/>
      <c r="BK17" s="185" t="e">
        <f>WEEKDAY([8]!Sheet_1_Table_1_13[[#This Row],[Lesson 6
Date 
(DD-MMM-YYYY)]])</f>
        <v>#REF!</v>
      </c>
      <c r="BL17" s="186"/>
      <c r="BM17" s="187"/>
      <c r="BN17" s="187"/>
      <c r="BO17" s="190"/>
      <c r="BP17" s="191"/>
      <c r="BQ17" s="178"/>
      <c r="BR17" s="180"/>
      <c r="BS17" s="52"/>
      <c r="BT17" s="56"/>
      <c r="BU17" s="56"/>
      <c r="BV17" s="70"/>
      <c r="BW17" s="60"/>
      <c r="BX17" s="71"/>
      <c r="BY17" s="56"/>
      <c r="BZ17" s="56"/>
      <c r="CA17" s="56"/>
      <c r="CB17" s="72"/>
      <c r="CC17" s="72"/>
      <c r="CD17" s="71"/>
      <c r="CE17" s="60" t="s">
        <v>1439</v>
      </c>
      <c r="CF17" s="164"/>
      <c r="CG17" s="56" t="s">
        <v>1354</v>
      </c>
      <c r="CH17" s="57"/>
      <c r="CI17" s="52" t="s">
        <v>142</v>
      </c>
      <c r="CJ17" s="52" t="s">
        <v>142</v>
      </c>
      <c r="CK17" s="52" t="s">
        <v>142</v>
      </c>
      <c r="CL17" s="52" t="s">
        <v>142</v>
      </c>
      <c r="CM17" s="52" t="s">
        <v>146</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169">
        <v>21</v>
      </c>
      <c r="B18" s="170"/>
      <c r="C18" s="171"/>
      <c r="D18" s="171"/>
      <c r="E18" s="172"/>
      <c r="F18" s="173" t="s">
        <v>134</v>
      </c>
      <c r="G18" s="172" t="s">
        <v>157</v>
      </c>
      <c r="H18" s="194"/>
      <c r="I18" s="175"/>
      <c r="J18" s="176"/>
      <c r="K18" s="177" t="s">
        <v>1441</v>
      </c>
      <c r="L18" s="178"/>
      <c r="M18" s="179" t="s">
        <v>342</v>
      </c>
      <c r="N18" s="180"/>
      <c r="O18" s="162" t="s">
        <v>142</v>
      </c>
      <c r="P18" s="162" t="s">
        <v>142</v>
      </c>
      <c r="Q18" s="176" t="s">
        <v>1351</v>
      </c>
      <c r="R18" s="171" t="str">
        <f>VLOOKUP(Sheet_1_Table_1_133[[#This Row],[Learning Domain]],[14]List!$A$7:$B$12,2,0)</f>
        <v>AES</v>
      </c>
      <c r="S18" s="178">
        <v>0</v>
      </c>
      <c r="T18" s="178">
        <v>0</v>
      </c>
      <c r="U18" s="178">
        <v>0</v>
      </c>
      <c r="V18" s="178">
        <v>0</v>
      </c>
      <c r="W18" s="178">
        <v>0</v>
      </c>
      <c r="X18" s="178">
        <v>0</v>
      </c>
      <c r="Y18" s="178">
        <v>0</v>
      </c>
      <c r="Z18" s="178">
        <v>0</v>
      </c>
      <c r="AA18" s="178">
        <v>0</v>
      </c>
      <c r="AB18" s="172">
        <f>SUM(Sheet_1_Table_1_133[[#This Row],[Leadership LS]:[Career Development  CR]])</f>
        <v>0</v>
      </c>
      <c r="AC18" s="173"/>
      <c r="AD18" s="178"/>
      <c r="AE18" s="178" t="s">
        <v>142</v>
      </c>
      <c r="AF18" s="178" t="s">
        <v>142</v>
      </c>
      <c r="AG18" s="178" t="s">
        <v>142</v>
      </c>
      <c r="AH18" s="178"/>
      <c r="AI18" s="178"/>
      <c r="AJ18" s="183">
        <f>Sheet_1_Table_1_133[[#This Row],[ILP Units Per Session]]*Sheet_1_Table_1_133[[#This Row],[Quota]]</f>
        <v>0</v>
      </c>
      <c r="AK18" s="184"/>
      <c r="AL18" s="185">
        <f>WEEKDAY(Sheet_1_Table_1_133[[#This Row],[Lesson 1 
Date 
(DD-MMM-YYYY)]])</f>
        <v>7</v>
      </c>
      <c r="AM18" s="186"/>
      <c r="AN18" s="187"/>
      <c r="AO18" s="188"/>
      <c r="AP18" s="189"/>
      <c r="AQ18" s="185">
        <f>WEEKDAY(Sheet_1_Table_1_133[[#This Row],[Lesson 2
Date 
(DD-MMM-YYYY)]]
)</f>
        <v>7</v>
      </c>
      <c r="AR18" s="186"/>
      <c r="AS18" s="187"/>
      <c r="AT18" s="187"/>
      <c r="AU18" s="184"/>
      <c r="AV18" s="185" t="e">
        <f>WEEKDAY([8]!Sheet_1_Table_1_13[[#This Row],[Lesson 3
Date 
(DD-MMM-YYYY)]])</f>
        <v>#REF!</v>
      </c>
      <c r="AW18" s="186"/>
      <c r="AX18" s="187"/>
      <c r="AY18" s="188"/>
      <c r="AZ18" s="189"/>
      <c r="BA18" s="185" t="e">
        <f>WEEKDAY([8]!Sheet_1_Table_1_13[[#This Row],[Lesson 4
Date 
(DD-MMM-YYYY)]])</f>
        <v>#REF!</v>
      </c>
      <c r="BB18" s="186"/>
      <c r="BC18" s="187"/>
      <c r="BD18" s="187"/>
      <c r="BE18" s="184"/>
      <c r="BF18" s="185" t="e">
        <f>WEEKDAY([8]!Sheet_1_Table_1_13[[#This Row],[Lesson 5
Date 
(DD-MMM-YYYY)]])</f>
        <v>#REF!</v>
      </c>
      <c r="BG18" s="186"/>
      <c r="BH18" s="187"/>
      <c r="BI18" s="188"/>
      <c r="BJ18" s="189"/>
      <c r="BK18" s="185" t="e">
        <f>WEEKDAY([8]!Sheet_1_Table_1_13[[#This Row],[Lesson 6
Date 
(DD-MMM-YYYY)]])</f>
        <v>#REF!</v>
      </c>
      <c r="BL18" s="186"/>
      <c r="BM18" s="187"/>
      <c r="BN18" s="187"/>
      <c r="BO18" s="190"/>
      <c r="BP18" s="191"/>
      <c r="BQ18" s="178"/>
      <c r="BR18" s="180"/>
      <c r="BS18" s="52"/>
      <c r="BT18" s="56"/>
      <c r="BU18" s="56"/>
      <c r="BV18" s="70"/>
      <c r="BW18" s="60"/>
      <c r="BX18" s="71"/>
      <c r="BY18" s="56"/>
      <c r="BZ18" s="56"/>
      <c r="CA18" s="56"/>
      <c r="CB18" s="72"/>
      <c r="CC18" s="72"/>
      <c r="CD18" s="71"/>
      <c r="CE18" s="60" t="s">
        <v>1439</v>
      </c>
      <c r="CF18" s="164"/>
      <c r="CG18" s="56" t="s">
        <v>1354</v>
      </c>
      <c r="CH18" s="57"/>
      <c r="CI18" s="52" t="s">
        <v>142</v>
      </c>
      <c r="CJ18" s="52" t="s">
        <v>142</v>
      </c>
      <c r="CK18" s="52" t="s">
        <v>142</v>
      </c>
      <c r="CL18" s="52" t="s">
        <v>142</v>
      </c>
      <c r="CM18" s="52" t="s">
        <v>146</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22</v>
      </c>
      <c r="B19" s="49">
        <v>202609</v>
      </c>
      <c r="C19" s="50" t="s">
        <v>1442</v>
      </c>
      <c r="D19" s="50" t="s">
        <v>133</v>
      </c>
      <c r="E19" s="51">
        <v>5937</v>
      </c>
      <c r="F19" s="606" t="s">
        <v>134</v>
      </c>
      <c r="G19" s="549" t="s">
        <v>632</v>
      </c>
      <c r="H19" s="607" t="s">
        <v>648</v>
      </c>
      <c r="I19" s="607" t="s">
        <v>649</v>
      </c>
      <c r="J19" s="629" t="s">
        <v>1443</v>
      </c>
      <c r="K19" s="608" t="s">
        <v>1444</v>
      </c>
      <c r="L19" s="55"/>
      <c r="M19" s="56" t="s">
        <v>1445</v>
      </c>
      <c r="N19" s="57" t="s">
        <v>1446</v>
      </c>
      <c r="O19" s="162" t="s">
        <v>142</v>
      </c>
      <c r="P19" s="182" t="s">
        <v>142</v>
      </c>
      <c r="Q19" s="60" t="s">
        <v>1351</v>
      </c>
      <c r="R19" s="61" t="e">
        <f>VLOOKUP([15]!Sheet_1_Table_1_134[[#This Row],[Learning Domain]],[16]List!$A$7:$B$12,2,0)</f>
        <v>#REF!</v>
      </c>
      <c r="S19" s="55">
        <v>0</v>
      </c>
      <c r="T19" s="55">
        <v>0</v>
      </c>
      <c r="U19" s="55">
        <v>0</v>
      </c>
      <c r="V19" s="55">
        <v>100</v>
      </c>
      <c r="W19" s="55">
        <v>0</v>
      </c>
      <c r="X19" s="55">
        <v>0</v>
      </c>
      <c r="Y19" s="55">
        <v>0</v>
      </c>
      <c r="Z19" s="55">
        <v>0</v>
      </c>
      <c r="AA19" s="55">
        <v>0</v>
      </c>
      <c r="AB19" s="53" t="e">
        <f>SUM([15]!Sheet_1_Table_1_134[[#This Row],[Leadership LS]:[Career Development  CR]])</f>
        <v>#REF!</v>
      </c>
      <c r="AC19" s="52" t="s">
        <v>199</v>
      </c>
      <c r="AD19" s="55" t="s">
        <v>190</v>
      </c>
      <c r="AE19" s="55" t="s">
        <v>142</v>
      </c>
      <c r="AF19" s="55" t="s">
        <v>146</v>
      </c>
      <c r="AG19" s="55" t="s">
        <v>142</v>
      </c>
      <c r="AH19" s="55">
        <v>2</v>
      </c>
      <c r="AI19" s="55">
        <v>15</v>
      </c>
      <c r="AJ19" s="62">
        <f>SUM(Sheet_1_Table_1_133[[#This Row],[ILP Units Per Session]]*Sheet_1_Table_1_133[[#This Row],[Quota]])</f>
        <v>30</v>
      </c>
      <c r="AK19" s="63">
        <v>46349</v>
      </c>
      <c r="AL19" s="64">
        <f>WEEKDAY(Sheet_1_Table_1_133[[#This Row],[Lesson 1 
Date 
(DD-MMM-YYYY)]])</f>
        <v>2</v>
      </c>
      <c r="AM19" s="65">
        <v>0.625</v>
      </c>
      <c r="AN19" s="66">
        <v>0.70833333333333337</v>
      </c>
      <c r="AO19" s="630" t="s">
        <v>379</v>
      </c>
      <c r="AP19" s="68"/>
      <c r="AQ19" s="64">
        <f>WEEKDAY(Sheet_1_Table_1_133[[#This Row],[Lesson 2
Date 
(DD-MMM-YYYY)]]
)</f>
        <v>7</v>
      </c>
      <c r="AR19" s="65"/>
      <c r="AS19" s="66"/>
      <c r="AT19" s="66"/>
      <c r="AU19" s="63"/>
      <c r="AV19" s="64" t="e">
        <f>WEEKDAY([8]!Sheet_1_Table_1_13[[#This Row],[Lesson 3
Date 
(DD-MMM-YYYY)]])</f>
        <v>#REF!</v>
      </c>
      <c r="AW19" s="65"/>
      <c r="AX19" s="66"/>
      <c r="AY19" s="67"/>
      <c r="AZ19" s="68"/>
      <c r="BA19" s="64" t="e">
        <f>WEEKDAY([8]!Sheet_1_Table_1_13[[#This Row],[Lesson 4
Date 
(DD-MMM-YYYY)]])</f>
        <v>#REF!</v>
      </c>
      <c r="BB19" s="65"/>
      <c r="BC19" s="66"/>
      <c r="BD19" s="66"/>
      <c r="BE19" s="63"/>
      <c r="BF19" s="64" t="e">
        <f>WEEKDAY([8]!Sheet_1_Table_1_13[[#This Row],[Lesson 5
Date 
(DD-MMM-YYYY)]])</f>
        <v>#REF!</v>
      </c>
      <c r="BG19" s="65"/>
      <c r="BH19" s="66"/>
      <c r="BI19" s="67"/>
      <c r="BJ19" s="68"/>
      <c r="BK19" s="64" t="e">
        <f>WEEKDAY([8]!Sheet_1_Table_1_13[[#This Row],[Lesson 6
Date 
(DD-MMM-YYYY)]])</f>
        <v>#REF!</v>
      </c>
      <c r="BL19" s="65"/>
      <c r="BM19" s="66"/>
      <c r="BN19" s="66"/>
      <c r="BO19" s="54"/>
      <c r="BP19" s="69"/>
      <c r="BQ19" s="55"/>
      <c r="BR19" s="57" t="s">
        <v>1447</v>
      </c>
      <c r="BS19" s="52"/>
      <c r="BT19" s="56"/>
      <c r="BU19" s="56"/>
      <c r="BV19" s="70"/>
      <c r="BW19" s="60"/>
      <c r="BX19" s="71"/>
      <c r="BY19" s="56"/>
      <c r="BZ19" s="56"/>
      <c r="CA19" s="56"/>
      <c r="CB19" s="72"/>
      <c r="CC19" s="72"/>
      <c r="CD19" s="71"/>
      <c r="CE19" s="60" t="s">
        <v>657</v>
      </c>
      <c r="CF19" s="164" t="s">
        <v>658</v>
      </c>
      <c r="CG19" s="56" t="s">
        <v>643</v>
      </c>
      <c r="CH19" s="301" t="s">
        <v>644</v>
      </c>
      <c r="CI19" s="52" t="s">
        <v>142</v>
      </c>
      <c r="CJ19" s="52" t="s">
        <v>142</v>
      </c>
      <c r="CK19" s="52" t="s">
        <v>142</v>
      </c>
      <c r="CL19" s="52" t="s">
        <v>146</v>
      </c>
      <c r="CM19" s="52" t="s">
        <v>146</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t="s">
        <v>142</v>
      </c>
      <c r="DH19" s="73" t="s">
        <v>142</v>
      </c>
      <c r="DI19" s="609" t="s">
        <v>142</v>
      </c>
      <c r="DJ19" s="610" t="s">
        <v>142</v>
      </c>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23</v>
      </c>
      <c r="B20" s="49">
        <v>202609</v>
      </c>
      <c r="C20" s="50" t="s">
        <v>1448</v>
      </c>
      <c r="D20" s="50" t="s">
        <v>1449</v>
      </c>
      <c r="E20" s="51">
        <v>5799</v>
      </c>
      <c r="F20" s="52" t="s">
        <v>722</v>
      </c>
      <c r="G20" s="53"/>
      <c r="H20" s="80"/>
      <c r="I20" s="300"/>
      <c r="J20" s="703" t="s">
        <v>1450</v>
      </c>
      <c r="K20" s="704" t="s">
        <v>1451</v>
      </c>
      <c r="L20" s="704"/>
      <c r="M20" s="705" t="s">
        <v>1452</v>
      </c>
      <c r="N20" s="706" t="s">
        <v>1453</v>
      </c>
      <c r="O20" s="78" t="s">
        <v>146</v>
      </c>
      <c r="P20" s="59" t="s">
        <v>146</v>
      </c>
      <c r="Q20" s="60" t="s">
        <v>1351</v>
      </c>
      <c r="R20" s="61" t="e">
        <f>VLOOKUP([2]!Sheet_1_Table_1_13[[#This Row],[Learning Domain]],[2]List!$A$7:$B$12,2,0)</f>
        <v>#REF!</v>
      </c>
      <c r="S20" s="55">
        <v>0</v>
      </c>
      <c r="T20" s="55">
        <v>0</v>
      </c>
      <c r="U20" s="55">
        <v>20</v>
      </c>
      <c r="V20" s="55">
        <v>30</v>
      </c>
      <c r="W20" s="55">
        <v>0</v>
      </c>
      <c r="X20" s="55">
        <v>50</v>
      </c>
      <c r="Y20" s="55">
        <v>0</v>
      </c>
      <c r="Z20" s="55">
        <v>0</v>
      </c>
      <c r="AA20" s="55">
        <v>0</v>
      </c>
      <c r="AB20" s="53" t="e">
        <f>SUM([2]!Sheet_1_Table_1_13[[#This Row],[Leadership LS]:[Career Development  CR]])</f>
        <v>#REF!</v>
      </c>
      <c r="AC20" s="52" t="s">
        <v>199</v>
      </c>
      <c r="AD20" s="55" t="s">
        <v>190</v>
      </c>
      <c r="AE20" s="55" t="s">
        <v>142</v>
      </c>
      <c r="AF20" s="55" t="s">
        <v>146</v>
      </c>
      <c r="AG20" s="55" t="s">
        <v>142</v>
      </c>
      <c r="AH20" s="55">
        <v>6</v>
      </c>
      <c r="AI20" s="55">
        <v>40</v>
      </c>
      <c r="AJ20" s="62">
        <f>SUM(Sheet_1_Table_1_133[[#This Row],[ILP Units Per Session]]*Sheet_1_Table_1_133[[#This Row],[Quota]])</f>
        <v>240</v>
      </c>
      <c r="AK20" s="63">
        <v>46288</v>
      </c>
      <c r="AL20" s="64">
        <f>WEEKDAY(Sheet_1_Table_1_133[[#This Row],[Lesson 1 
Date 
(DD-MMM-YYYY)]])</f>
        <v>4</v>
      </c>
      <c r="AM20" s="65">
        <v>0.77083333333333337</v>
      </c>
      <c r="AN20" s="66">
        <v>0.89583333333333337</v>
      </c>
      <c r="AO20" s="67" t="s">
        <v>1454</v>
      </c>
      <c r="AP20" s="68">
        <v>46302</v>
      </c>
      <c r="AQ20" s="64">
        <f>WEEKDAY(Sheet_1_Table_1_133[[#This Row],[Lesson 2
Date 
(DD-MMM-YYYY)]]
)</f>
        <v>4</v>
      </c>
      <c r="AR20" s="65">
        <v>0.77083333333333337</v>
      </c>
      <c r="AS20" s="66">
        <v>0.89583333333333337</v>
      </c>
      <c r="AT20" s="66" t="s">
        <v>1454</v>
      </c>
      <c r="AU20" s="63"/>
      <c r="AV20" s="165" t="e">
        <f>WEEKDAY([8]!Sheet_1_Table_1_13[[#This Row],[Lesson 3
Date 
(DD-MMM-YYYY)]])</f>
        <v>#REF!</v>
      </c>
      <c r="AW20" s="65"/>
      <c r="AX20" s="66"/>
      <c r="AY20" s="67"/>
      <c r="AZ20" s="68"/>
      <c r="BA20" s="64" t="e">
        <f>WEEKDAY([8]!Sheet_1_Table_1_13[[#This Row],[Lesson 4
Date 
(DD-MMM-YYYY)]])</f>
        <v>#REF!</v>
      </c>
      <c r="BB20" s="65"/>
      <c r="BC20" s="66"/>
      <c r="BD20" s="66"/>
      <c r="BE20" s="63"/>
      <c r="BF20" s="165" t="e">
        <f>WEEKDAY([8]!Sheet_1_Table_1_13[[#This Row],[Lesson 5
Date 
(DD-MMM-YYYY)]])</f>
        <v>#REF!</v>
      </c>
      <c r="BG20" s="65"/>
      <c r="BH20" s="66"/>
      <c r="BI20" s="67"/>
      <c r="BJ20" s="68"/>
      <c r="BK20" s="165" t="e">
        <f>WEEKDAY([8]!Sheet_1_Table_1_13[[#This Row],[Lesson 6
Date 
(DD-MMM-YYYY)]])</f>
        <v>#REF!</v>
      </c>
      <c r="BL20" s="65"/>
      <c r="BM20" s="66"/>
      <c r="BN20" s="66"/>
      <c r="BO20" s="54" t="s">
        <v>163</v>
      </c>
      <c r="BP20" s="707" t="s">
        <v>1455</v>
      </c>
      <c r="BQ20" s="704" t="s">
        <v>1456</v>
      </c>
      <c r="BR20" s="706" t="s">
        <v>1457</v>
      </c>
      <c r="BS20" s="52" t="s">
        <v>291</v>
      </c>
      <c r="BT20" s="705" t="s">
        <v>1458</v>
      </c>
      <c r="BU20" s="705" t="s">
        <v>1459</v>
      </c>
      <c r="BV20" s="708" t="s">
        <v>1460</v>
      </c>
      <c r="BW20" s="60">
        <v>0</v>
      </c>
      <c r="BX20" s="71"/>
      <c r="BY20" s="56" t="s">
        <v>184</v>
      </c>
      <c r="BZ20" s="56"/>
      <c r="CA20" s="56" t="s">
        <v>184</v>
      </c>
      <c r="CB20" s="72"/>
      <c r="CC20" s="72"/>
      <c r="CD20" s="71"/>
      <c r="CE20" s="703" t="s">
        <v>713</v>
      </c>
      <c r="CF20" s="709" t="s">
        <v>714</v>
      </c>
      <c r="CG20" s="705" t="s">
        <v>715</v>
      </c>
      <c r="CH20" s="710" t="s">
        <v>716</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24</v>
      </c>
      <c r="B21" s="49">
        <v>202609</v>
      </c>
      <c r="C21" s="50" t="s">
        <v>1461</v>
      </c>
      <c r="D21" s="50" t="s">
        <v>250</v>
      </c>
      <c r="E21" s="51">
        <v>5800</v>
      </c>
      <c r="F21" s="52" t="s">
        <v>722</v>
      </c>
      <c r="G21" s="53"/>
      <c r="H21" s="80"/>
      <c r="I21" s="300"/>
      <c r="J21" s="711" t="s">
        <v>1462</v>
      </c>
      <c r="K21" s="712" t="s">
        <v>1463</v>
      </c>
      <c r="L21" s="704"/>
      <c r="M21" s="705" t="s">
        <v>1464</v>
      </c>
      <c r="N21" s="713" t="s">
        <v>1465</v>
      </c>
      <c r="O21" s="78" t="s">
        <v>146</v>
      </c>
      <c r="P21" s="59" t="s">
        <v>146</v>
      </c>
      <c r="Q21" s="60" t="s">
        <v>1351</v>
      </c>
      <c r="R21" s="61" t="e">
        <f>VLOOKUP([2]!Sheet_1_Table_1_13[[#This Row],[Learning Domain]],[2]List!$A$7:$B$12,2,0)</f>
        <v>#REF!</v>
      </c>
      <c r="S21" s="55">
        <v>0</v>
      </c>
      <c r="T21" s="55">
        <v>0</v>
      </c>
      <c r="U21" s="55">
        <v>0</v>
      </c>
      <c r="V21" s="55">
        <v>20</v>
      </c>
      <c r="W21" s="55">
        <v>0</v>
      </c>
      <c r="X21" s="55">
        <v>80</v>
      </c>
      <c r="Y21" s="55">
        <v>0</v>
      </c>
      <c r="Z21" s="55">
        <v>0</v>
      </c>
      <c r="AA21" s="55">
        <v>0</v>
      </c>
      <c r="AB21" s="53" t="e">
        <f>SUM([2]!Sheet_1_Table_1_13[[#This Row],[Leadership LS]:[Career Development  CR]])</f>
        <v>#REF!</v>
      </c>
      <c r="AC21" s="52" t="s">
        <v>144</v>
      </c>
      <c r="AD21" s="55" t="s">
        <v>190</v>
      </c>
      <c r="AE21" s="55" t="s">
        <v>142</v>
      </c>
      <c r="AF21" s="55" t="s">
        <v>146</v>
      </c>
      <c r="AG21" s="55" t="s">
        <v>142</v>
      </c>
      <c r="AH21" s="55">
        <v>2</v>
      </c>
      <c r="AI21" s="55">
        <v>80</v>
      </c>
      <c r="AJ21" s="62">
        <f>SUM(Sheet_1_Table_1_133[[#This Row],[ILP Units Per Session]]*Sheet_1_Table_1_133[[#This Row],[Quota]])</f>
        <v>160</v>
      </c>
      <c r="AK21" s="63">
        <v>46295</v>
      </c>
      <c r="AL21" s="64">
        <f>WEEKDAY(Sheet_1_Table_1_133[[#This Row],[Lesson 1 
Date 
(DD-MMM-YYYY)]])</f>
        <v>4</v>
      </c>
      <c r="AM21" s="65">
        <v>0.8125</v>
      </c>
      <c r="AN21" s="66">
        <v>0.89583333333333337</v>
      </c>
      <c r="AO21" s="67" t="s">
        <v>709</v>
      </c>
      <c r="AP21" s="68"/>
      <c r="AQ21" s="64">
        <f>WEEKDAY(Sheet_1_Table_1_133[[#This Row],[Lesson 2
Date 
(DD-MMM-YYYY)]]
)</f>
        <v>7</v>
      </c>
      <c r="AR21" s="65"/>
      <c r="AS21" s="66"/>
      <c r="AT21" s="66"/>
      <c r="AU21" s="63"/>
      <c r="AV21" s="165" t="e">
        <f>WEEKDAY([8]!Sheet_1_Table_1_13[[#This Row],[Lesson 3
Date 
(DD-MMM-YYYY)]])</f>
        <v>#REF!</v>
      </c>
      <c r="AW21" s="65"/>
      <c r="AX21" s="66"/>
      <c r="AY21" s="67"/>
      <c r="AZ21" s="68"/>
      <c r="BA21" s="64" t="e">
        <f>WEEKDAY([8]!Sheet_1_Table_1_13[[#This Row],[Lesson 4
Date 
(DD-MMM-YYYY)]])</f>
        <v>#REF!</v>
      </c>
      <c r="BB21" s="65"/>
      <c r="BC21" s="66"/>
      <c r="BD21" s="66"/>
      <c r="BE21" s="63"/>
      <c r="BF21" s="165" t="e">
        <f>WEEKDAY([8]!Sheet_1_Table_1_13[[#This Row],[Lesson 5
Date 
(DD-MMM-YYYY)]])</f>
        <v>#REF!</v>
      </c>
      <c r="BG21" s="65"/>
      <c r="BH21" s="66"/>
      <c r="BI21" s="67"/>
      <c r="BJ21" s="68"/>
      <c r="BK21" s="165" t="e">
        <f>WEEKDAY([8]!Sheet_1_Table_1_13[[#This Row],[Lesson 6
Date 
(DD-MMM-YYYY)]])</f>
        <v>#REF!</v>
      </c>
      <c r="BL21" s="65"/>
      <c r="BM21" s="66"/>
      <c r="BN21" s="66"/>
      <c r="BO21" s="54"/>
      <c r="BP21" s="69" t="s">
        <v>1466</v>
      </c>
      <c r="BQ21" s="55"/>
      <c r="BR21" s="57"/>
      <c r="BS21" s="52"/>
      <c r="BT21" s="56"/>
      <c r="BU21" s="56"/>
      <c r="BV21" s="70"/>
      <c r="BW21" s="60">
        <v>0</v>
      </c>
      <c r="BX21" s="71"/>
      <c r="BY21" s="56" t="s">
        <v>149</v>
      </c>
      <c r="BZ21" s="56"/>
      <c r="CA21" s="56" t="s">
        <v>149</v>
      </c>
      <c r="CB21" s="72"/>
      <c r="CC21" s="72"/>
      <c r="CD21" s="71"/>
      <c r="CE21" s="703" t="s">
        <v>713</v>
      </c>
      <c r="CF21" s="714" t="s">
        <v>714</v>
      </c>
      <c r="CG21" s="705" t="s">
        <v>715</v>
      </c>
      <c r="CH21" s="710" t="s">
        <v>716</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25</v>
      </c>
      <c r="B22" s="49">
        <v>202609</v>
      </c>
      <c r="C22" s="50" t="s">
        <v>1467</v>
      </c>
      <c r="D22" s="50" t="s">
        <v>1468</v>
      </c>
      <c r="E22" s="51">
        <v>5801</v>
      </c>
      <c r="F22" s="52" t="s">
        <v>722</v>
      </c>
      <c r="G22" s="53"/>
      <c r="H22" s="52"/>
      <c r="I22" s="70"/>
      <c r="J22" s="711" t="s">
        <v>1469</v>
      </c>
      <c r="K22" s="704" t="s">
        <v>1470</v>
      </c>
      <c r="L22" s="704"/>
      <c r="M22" s="705" t="s">
        <v>1471</v>
      </c>
      <c r="N22" s="713" t="s">
        <v>1472</v>
      </c>
      <c r="O22" s="78" t="s">
        <v>146</v>
      </c>
      <c r="P22" s="59" t="s">
        <v>146</v>
      </c>
      <c r="Q22" s="60" t="s">
        <v>1351</v>
      </c>
      <c r="R22" s="77" t="e">
        <f>VLOOKUP([2]!Sheet_1_Table_1_13[[#This Row],[Learning Domain]],[2]List!$A$7:$B$12,2,0)</f>
        <v>#REF!</v>
      </c>
      <c r="S22" s="55">
        <v>0</v>
      </c>
      <c r="T22" s="55">
        <v>0</v>
      </c>
      <c r="U22" s="55">
        <v>25</v>
      </c>
      <c r="V22" s="55">
        <v>25</v>
      </c>
      <c r="W22" s="55">
        <v>0</v>
      </c>
      <c r="X22" s="55">
        <v>50</v>
      </c>
      <c r="Y22" s="55">
        <v>0</v>
      </c>
      <c r="Z22" s="55">
        <v>0</v>
      </c>
      <c r="AA22" s="55">
        <v>0</v>
      </c>
      <c r="AB22" s="53" t="e">
        <f>SUM([2]!Sheet_1_Table_1_13[[#This Row],[Leadership LS]:[Career Development  CR]])</f>
        <v>#REF!</v>
      </c>
      <c r="AC22" s="52" t="s">
        <v>199</v>
      </c>
      <c r="AD22" s="55" t="s">
        <v>190</v>
      </c>
      <c r="AE22" s="55" t="s">
        <v>142</v>
      </c>
      <c r="AF22" s="55" t="s">
        <v>146</v>
      </c>
      <c r="AG22" s="55" t="s">
        <v>142</v>
      </c>
      <c r="AH22" s="55">
        <v>6</v>
      </c>
      <c r="AI22" s="55">
        <v>40</v>
      </c>
      <c r="AJ22" s="62">
        <f>SUM(Sheet_1_Table_1_133[[#This Row],[ILP Units Per Session]]*Sheet_1_Table_1_133[[#This Row],[Quota]])</f>
        <v>240</v>
      </c>
      <c r="AK22" s="63">
        <v>46309</v>
      </c>
      <c r="AL22" s="64">
        <f>WEEKDAY(Sheet_1_Table_1_133[[#This Row],[Lesson 1 
Date 
(DD-MMM-YYYY)]])</f>
        <v>4</v>
      </c>
      <c r="AM22" s="65">
        <v>0.77083333333333337</v>
      </c>
      <c r="AN22" s="66">
        <v>0.89583333333333337</v>
      </c>
      <c r="AO22" s="67" t="s">
        <v>2226</v>
      </c>
      <c r="AP22" s="68">
        <v>46316</v>
      </c>
      <c r="AQ22" s="64">
        <f>WEEKDAY(Sheet_1_Table_1_133[[#This Row],[Lesson 2
Date 
(DD-MMM-YYYY)]]
)</f>
        <v>4</v>
      </c>
      <c r="AR22" s="65">
        <v>0.77083333333333337</v>
      </c>
      <c r="AS22" s="66">
        <v>0.89583333333333337</v>
      </c>
      <c r="AT22" s="66" t="s">
        <v>2226</v>
      </c>
      <c r="AU22" s="63"/>
      <c r="AV22" s="64" t="e">
        <f>WEEKDAY([8]!Sheet_1_Table_1_13[[#This Row],[Lesson 3
Date 
(DD-MMM-YYYY)]])</f>
        <v>#REF!</v>
      </c>
      <c r="AW22" s="65"/>
      <c r="AX22" s="66"/>
      <c r="AY22" s="67"/>
      <c r="AZ22" s="68"/>
      <c r="BA22" s="64" t="e">
        <f>WEEKDAY([8]!Sheet_1_Table_1_13[[#This Row],[Lesson 4
Date 
(DD-MMM-YYYY)]])</f>
        <v>#REF!</v>
      </c>
      <c r="BB22" s="65"/>
      <c r="BC22" s="66"/>
      <c r="BD22" s="66"/>
      <c r="BE22" s="63"/>
      <c r="BF22" s="64" t="e">
        <f>WEEKDAY([8]!Sheet_1_Table_1_13[[#This Row],[Lesson 5
Date 
(DD-MMM-YYYY)]])</f>
        <v>#REF!</v>
      </c>
      <c r="BG22" s="65"/>
      <c r="BH22" s="66"/>
      <c r="BI22" s="67"/>
      <c r="BJ22" s="68"/>
      <c r="BK22" s="64" t="e">
        <f>WEEKDAY([8]!Sheet_1_Table_1_13[[#This Row],[Lesson 6
Date 
(DD-MMM-YYYY)]])</f>
        <v>#REF!</v>
      </c>
      <c r="BL22" s="65"/>
      <c r="BM22" s="66"/>
      <c r="BN22" s="66"/>
      <c r="BO22" s="54" t="s">
        <v>163</v>
      </c>
      <c r="BP22" s="715" t="s">
        <v>1473</v>
      </c>
      <c r="BQ22" s="716" t="s">
        <v>1474</v>
      </c>
      <c r="BR22" s="713" t="s">
        <v>1475</v>
      </c>
      <c r="BS22" s="52" t="s">
        <v>163</v>
      </c>
      <c r="BT22" s="715" t="s">
        <v>1476</v>
      </c>
      <c r="BU22" s="716" t="s">
        <v>1456</v>
      </c>
      <c r="BV22" s="706" t="s">
        <v>1477</v>
      </c>
      <c r="BW22" s="60">
        <v>0</v>
      </c>
      <c r="BX22" s="71"/>
      <c r="BY22" s="56" t="s">
        <v>184</v>
      </c>
      <c r="BZ22" s="56"/>
      <c r="CA22" s="56" t="s">
        <v>184</v>
      </c>
      <c r="CB22" s="72"/>
      <c r="CC22" s="72"/>
      <c r="CD22" s="71"/>
      <c r="CE22" s="703" t="s">
        <v>713</v>
      </c>
      <c r="CF22" s="714" t="s">
        <v>714</v>
      </c>
      <c r="CG22" s="705" t="s">
        <v>715</v>
      </c>
      <c r="CH22" s="710" t="s">
        <v>716</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26</v>
      </c>
      <c r="B23" s="49">
        <v>202609</v>
      </c>
      <c r="C23" s="170" t="s">
        <v>1478</v>
      </c>
      <c r="D23" s="171" t="s">
        <v>133</v>
      </c>
      <c r="E23" s="172">
        <v>5908</v>
      </c>
      <c r="F23" s="173" t="s">
        <v>324</v>
      </c>
      <c r="G23" s="172" t="s">
        <v>157</v>
      </c>
      <c r="H23" s="685"/>
      <c r="I23" s="686"/>
      <c r="J23" s="176" t="s">
        <v>1479</v>
      </c>
      <c r="K23" s="178" t="s">
        <v>1480</v>
      </c>
      <c r="L23" s="178"/>
      <c r="M23" s="179" t="s">
        <v>1481</v>
      </c>
      <c r="N23" s="180" t="s">
        <v>1482</v>
      </c>
      <c r="O23" s="162" t="s">
        <v>142</v>
      </c>
      <c r="P23" s="182" t="s">
        <v>142</v>
      </c>
      <c r="Q23" s="176" t="s">
        <v>1351</v>
      </c>
      <c r="R23" s="171" t="e">
        <f>VLOOKUP([8]!Sheet_1_Table_1_13[[#This Row],[Learning Domain]],[8]List!$A$7:$B$12,2,0)</f>
        <v>#REF!</v>
      </c>
      <c r="S23" s="178">
        <v>0</v>
      </c>
      <c r="T23" s="178">
        <v>0</v>
      </c>
      <c r="U23" s="178">
        <v>0</v>
      </c>
      <c r="V23" s="178">
        <v>50</v>
      </c>
      <c r="W23" s="178">
        <v>0</v>
      </c>
      <c r="X23" s="178">
        <v>50</v>
      </c>
      <c r="Y23" s="178">
        <v>0</v>
      </c>
      <c r="Z23" s="178">
        <v>0</v>
      </c>
      <c r="AA23" s="178">
        <v>0</v>
      </c>
      <c r="AB23" s="172" t="e">
        <f>SUM([8]!Sheet_1_Table_1_13[[#This Row],[Leadership LS]:[Career Development  CR]])</f>
        <v>#REF!</v>
      </c>
      <c r="AC23" s="173" t="s">
        <v>199</v>
      </c>
      <c r="AD23" s="178" t="s">
        <v>190</v>
      </c>
      <c r="AE23" s="178" t="s">
        <v>142</v>
      </c>
      <c r="AF23" s="178" t="s">
        <v>146</v>
      </c>
      <c r="AG23" s="178" t="s">
        <v>142</v>
      </c>
      <c r="AH23" s="178">
        <v>2</v>
      </c>
      <c r="AI23" s="178">
        <v>30</v>
      </c>
      <c r="AJ23" s="62">
        <f>SUM(Sheet_1_Table_1_133[[#This Row],[ILP Units Per Session]]*Sheet_1_Table_1_133[[#This Row],[Quota]])</f>
        <v>60</v>
      </c>
      <c r="AK23" s="184">
        <v>46359</v>
      </c>
      <c r="AL23" s="185">
        <f>WEEKDAY(Sheet_1_Table_1_133[[#This Row],[Lesson 1 
Date 
(DD-MMM-YYYY)]])</f>
        <v>5</v>
      </c>
      <c r="AM23" s="186">
        <v>0.58333333333333337</v>
      </c>
      <c r="AN23" s="187">
        <v>0.66666666666666663</v>
      </c>
      <c r="AO23" s="188" t="s">
        <v>1483</v>
      </c>
      <c r="AP23" s="189"/>
      <c r="AQ23" s="185">
        <f>WEEKDAY(Sheet_1_Table_1_133[[#This Row],[Lesson 2
Date 
(DD-MMM-YYYY)]]
)</f>
        <v>7</v>
      </c>
      <c r="AR23" s="186"/>
      <c r="AS23" s="187"/>
      <c r="AT23" s="187"/>
      <c r="AU23" s="184"/>
      <c r="AV23" s="185" t="e">
        <f>WEEKDAY([8]!Sheet_1_Table_1_13[[#This Row],[Lesson 3
Date 
(DD-MMM-YYYY)]])</f>
        <v>#REF!</v>
      </c>
      <c r="AW23" s="186"/>
      <c r="AX23" s="187"/>
      <c r="AY23" s="188"/>
      <c r="AZ23" s="189"/>
      <c r="BA23" s="185" t="e">
        <f>WEEKDAY([8]!Sheet_1_Table_1_13[[#This Row],[Lesson 4
Date 
(DD-MMM-YYYY)]])</f>
        <v>#REF!</v>
      </c>
      <c r="BB23" s="186"/>
      <c r="BC23" s="187"/>
      <c r="BD23" s="187"/>
      <c r="BE23" s="184"/>
      <c r="BF23" s="185" t="e">
        <f>WEEKDAY([8]!Sheet_1_Table_1_13[[#This Row],[Lesson 5
Date 
(DD-MMM-YYYY)]])</f>
        <v>#REF!</v>
      </c>
      <c r="BG23" s="186"/>
      <c r="BH23" s="187"/>
      <c r="BI23" s="188"/>
      <c r="BJ23" s="189"/>
      <c r="BK23" s="185" t="e">
        <f>WEEKDAY([8]!Sheet_1_Table_1_13[[#This Row],[Lesson 6
Date 
(DD-MMM-YYYY)]])</f>
        <v>#REF!</v>
      </c>
      <c r="BL23" s="186"/>
      <c r="BM23" s="187"/>
      <c r="BN23" s="187"/>
      <c r="BO23" s="190" t="s">
        <v>163</v>
      </c>
      <c r="BP23" s="191" t="s">
        <v>1484</v>
      </c>
      <c r="BQ23" s="178" t="s">
        <v>1485</v>
      </c>
      <c r="BR23" s="180" t="s">
        <v>1486</v>
      </c>
      <c r="BS23" s="173"/>
      <c r="BT23" s="179"/>
      <c r="BU23" s="179"/>
      <c r="BV23" s="764"/>
      <c r="BW23" s="176">
        <v>0</v>
      </c>
      <c r="BX23" s="204">
        <v>100</v>
      </c>
      <c r="BY23" s="765"/>
      <c r="BZ23" s="179"/>
      <c r="CA23" s="179" t="s">
        <v>1487</v>
      </c>
      <c r="CB23" s="203"/>
      <c r="CC23" s="203"/>
      <c r="CD23" s="204"/>
      <c r="CE23" s="176" t="s">
        <v>338</v>
      </c>
      <c r="CF23" s="766" t="s">
        <v>339</v>
      </c>
      <c r="CG23" s="179" t="s">
        <v>340</v>
      </c>
      <c r="CH23" s="767" t="s">
        <v>341</v>
      </c>
      <c r="CI23" s="173" t="s">
        <v>146</v>
      </c>
      <c r="CJ23" s="173" t="s">
        <v>142</v>
      </c>
      <c r="CK23" s="173" t="s">
        <v>142</v>
      </c>
      <c r="CL23" s="173" t="s">
        <v>142</v>
      </c>
      <c r="CM23" s="173" t="s">
        <v>142</v>
      </c>
      <c r="CN23" s="173" t="s">
        <v>142</v>
      </c>
      <c r="CO23" s="173" t="s">
        <v>142</v>
      </c>
      <c r="CP23" s="173" t="s">
        <v>142</v>
      </c>
      <c r="CQ23" s="173" t="s">
        <v>142</v>
      </c>
      <c r="CR23" s="173" t="s">
        <v>142</v>
      </c>
      <c r="CS23" s="173" t="s">
        <v>142</v>
      </c>
      <c r="CT23" s="173" t="s">
        <v>146</v>
      </c>
      <c r="CU23" s="173" t="s">
        <v>142</v>
      </c>
      <c r="CV23" s="173" t="s">
        <v>142</v>
      </c>
      <c r="CW23" s="173" t="s">
        <v>146</v>
      </c>
      <c r="CX23" s="173" t="s">
        <v>142</v>
      </c>
      <c r="CY23" s="173" t="s">
        <v>142</v>
      </c>
      <c r="CZ23" s="182" t="s">
        <v>146</v>
      </c>
      <c r="DA23" s="190" t="s">
        <v>154</v>
      </c>
      <c r="DB23" s="171" t="s">
        <v>155</v>
      </c>
      <c r="DC23" s="171" t="s">
        <v>156</v>
      </c>
      <c r="DD23" s="171" t="s">
        <v>146</v>
      </c>
      <c r="DE23" s="171" t="s">
        <v>157</v>
      </c>
      <c r="DF23" s="171" t="s">
        <v>146</v>
      </c>
      <c r="DG23" s="768"/>
      <c r="DH23" s="768"/>
      <c r="DI23" s="769"/>
      <c r="DJ23" s="768"/>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27</v>
      </c>
      <c r="B24" s="49"/>
      <c r="C24" s="50"/>
      <c r="D24" s="50"/>
      <c r="E24" s="51"/>
      <c r="F24" s="52"/>
      <c r="G24" s="53"/>
      <c r="H24" s="136"/>
      <c r="I24" s="137"/>
      <c r="J24" s="60"/>
      <c r="K24" s="56"/>
      <c r="L24" s="55"/>
      <c r="M24" s="56" t="s">
        <v>342</v>
      </c>
      <c r="N24" s="57"/>
      <c r="O24" s="114"/>
      <c r="P24" s="96"/>
      <c r="Q24" s="60"/>
      <c r="R24" s="77" t="e">
        <f>VLOOKUP(Sheet_1_Table_1_133[[#This Row],[Learning Domain]],[14]List!$A$7:$B$12,2,0)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WEEKDAY([8]!Sheet_1_Table_1_13[[#This Row],[Lesson 3
Date 
(DD-MMM-YYYY)]])</f>
        <v>#REF!</v>
      </c>
      <c r="AW24" s="65"/>
      <c r="AX24" s="66"/>
      <c r="AY24" s="126"/>
      <c r="AZ24" s="98"/>
      <c r="BA24" s="64" t="e">
        <f>WEEKDAY([8]!Sheet_1_Table_1_13[[#This Row],[Lesson 4
Date 
(DD-MMM-YYYY)]])</f>
        <v>#REF!</v>
      </c>
      <c r="BB24" s="65"/>
      <c r="BC24" s="66"/>
      <c r="BD24" s="126"/>
      <c r="BE24" s="63"/>
      <c r="BF24" s="64" t="e">
        <f>WEEKDAY([8]!Sheet_1_Table_1_13[[#This Row],[Lesson 5
Date 
(DD-MMM-YYYY)]])</f>
        <v>#REF!</v>
      </c>
      <c r="BG24" s="65"/>
      <c r="BH24" s="66"/>
      <c r="BI24" s="126"/>
      <c r="BJ24" s="98"/>
      <c r="BK24" s="64" t="e">
        <f>WEEKDAY([8]!Sheet_1_Table_1_13[[#This Row],[Lesson 6
Date 
(DD-MMM-YYYY)]])</f>
        <v>#REF!</v>
      </c>
      <c r="BL24" s="65"/>
      <c r="BM24" s="66"/>
      <c r="BN24" s="99"/>
      <c r="BO24" s="54"/>
      <c r="BP24" s="69"/>
      <c r="BQ24" s="55"/>
      <c r="BR24" s="57"/>
      <c r="BS24" s="54"/>
      <c r="BT24" s="56"/>
      <c r="BU24" s="56"/>
      <c r="BV24" s="57"/>
      <c r="BW24" s="60"/>
      <c r="BX24" s="195"/>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28</v>
      </c>
      <c r="B25" s="49"/>
      <c r="C25" s="50"/>
      <c r="D25" s="50"/>
      <c r="E25" s="51"/>
      <c r="F25" s="52"/>
      <c r="G25" s="53"/>
      <c r="H25" s="136"/>
      <c r="I25" s="137"/>
      <c r="J25" s="60"/>
      <c r="K25" s="56"/>
      <c r="L25" s="55"/>
      <c r="M25" s="56" t="s">
        <v>342</v>
      </c>
      <c r="N25" s="57"/>
      <c r="O25" s="114"/>
      <c r="P25" s="96"/>
      <c r="Q25" s="60"/>
      <c r="R25" s="61" t="e">
        <f>VLOOKUP(Sheet_1_Table_1_133[[#This Row],[Learning Domain]],[14]List!$A$7:$B$12,2,0)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WEEKDAY([8]!Sheet_1_Table_1_13[[#This Row],[Lesson 3
Date 
(DD-MMM-YYYY)]])</f>
        <v>#REF!</v>
      </c>
      <c r="AW25" s="65"/>
      <c r="AX25" s="66"/>
      <c r="AY25" s="126"/>
      <c r="AZ25" s="98"/>
      <c r="BA25" s="64" t="e">
        <f>WEEKDAY([8]!Sheet_1_Table_1_13[[#This Row],[Lesson 4
Date 
(DD-MMM-YYYY)]])</f>
        <v>#REF!</v>
      </c>
      <c r="BB25" s="65"/>
      <c r="BC25" s="66"/>
      <c r="BD25" s="126"/>
      <c r="BE25" s="63"/>
      <c r="BF25" s="64" t="e">
        <f>WEEKDAY([8]!Sheet_1_Table_1_13[[#This Row],[Lesson 5
Date 
(DD-MMM-YYYY)]])</f>
        <v>#REF!</v>
      </c>
      <c r="BG25" s="65"/>
      <c r="BH25" s="66"/>
      <c r="BI25" s="126"/>
      <c r="BJ25" s="98"/>
      <c r="BK25" s="64" t="e">
        <f>WEEKDAY([8]!Sheet_1_Table_1_13[[#This Row],[Lesson 6
Date 
(DD-MMM-YYYY)]])</f>
        <v>#REF!</v>
      </c>
      <c r="BL25" s="65"/>
      <c r="BM25" s="66"/>
      <c r="BN25" s="99"/>
      <c r="BO25" s="54"/>
      <c r="BP25" s="69"/>
      <c r="BQ25" s="55"/>
      <c r="BR25" s="57"/>
      <c r="BS25" s="54"/>
      <c r="BT25" s="56"/>
      <c r="BU25" s="56"/>
      <c r="BV25" s="57"/>
      <c r="BW25" s="60"/>
      <c r="BX25" s="195"/>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29</v>
      </c>
      <c r="B26" s="49"/>
      <c r="C26" s="50"/>
      <c r="D26" s="50"/>
      <c r="E26" s="51"/>
      <c r="F26" s="52"/>
      <c r="G26" s="53"/>
      <c r="H26" s="136"/>
      <c r="I26" s="137"/>
      <c r="J26" s="60"/>
      <c r="K26" s="56"/>
      <c r="L26" s="55"/>
      <c r="M26" s="56" t="s">
        <v>342</v>
      </c>
      <c r="N26" s="57"/>
      <c r="O26" s="114"/>
      <c r="P26" s="96"/>
      <c r="Q26" s="60"/>
      <c r="R26" s="77" t="e">
        <f>VLOOKUP(Sheet_1_Table_1_133[[#This Row],[Learning Domain]],[14]List!$A$7:$B$12,2,0)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WEEKDAY([8]!Sheet_1_Table_1_13[[#This Row],[Lesson 3
Date 
(DD-MMM-YYYY)]])</f>
        <v>#REF!</v>
      </c>
      <c r="AW26" s="65"/>
      <c r="AX26" s="66"/>
      <c r="AY26" s="126"/>
      <c r="AZ26" s="98"/>
      <c r="BA26" s="64" t="e">
        <f>WEEKDAY([8]!Sheet_1_Table_1_13[[#This Row],[Lesson 4
Date 
(DD-MMM-YYYY)]])</f>
        <v>#REF!</v>
      </c>
      <c r="BB26" s="65"/>
      <c r="BC26" s="66"/>
      <c r="BD26" s="126"/>
      <c r="BE26" s="63"/>
      <c r="BF26" s="64" t="e">
        <f>WEEKDAY([8]!Sheet_1_Table_1_13[[#This Row],[Lesson 5
Date 
(DD-MMM-YYYY)]])</f>
        <v>#REF!</v>
      </c>
      <c r="BG26" s="65"/>
      <c r="BH26" s="66"/>
      <c r="BI26" s="126"/>
      <c r="BJ26" s="98"/>
      <c r="BK26" s="64" t="e">
        <f>WEEKDAY([8]!Sheet_1_Table_1_13[[#This Row],[Lesson 6
Date 
(DD-MMM-YYYY)]])</f>
        <v>#REF!</v>
      </c>
      <c r="BL26" s="65"/>
      <c r="BM26" s="66"/>
      <c r="BN26" s="99"/>
      <c r="BO26" s="54"/>
      <c r="BP26" s="69"/>
      <c r="BQ26" s="55"/>
      <c r="BR26" s="57"/>
      <c r="BS26" s="54"/>
      <c r="BT26" s="56"/>
      <c r="BU26" s="56"/>
      <c r="BV26" s="57"/>
      <c r="BW26" s="60"/>
      <c r="BX26" s="195"/>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30</v>
      </c>
      <c r="B27" s="49"/>
      <c r="C27" s="50"/>
      <c r="D27" s="50"/>
      <c r="E27" s="51"/>
      <c r="F27" s="52"/>
      <c r="G27" s="53"/>
      <c r="H27" s="136"/>
      <c r="I27" s="137"/>
      <c r="J27" s="60"/>
      <c r="K27" s="56"/>
      <c r="L27" s="55"/>
      <c r="M27" s="56" t="s">
        <v>342</v>
      </c>
      <c r="N27" s="57"/>
      <c r="O27" s="114"/>
      <c r="P27" s="96"/>
      <c r="Q27" s="60"/>
      <c r="R27" s="61" t="e">
        <f>VLOOKUP(Sheet_1_Table_1_133[[#This Row],[Learning Domain]],[14]List!$A$7:$B$12,2,0)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WEEKDAY([8]!Sheet_1_Table_1_13[[#This Row],[Lesson 3
Date 
(DD-MMM-YYYY)]])</f>
        <v>#REF!</v>
      </c>
      <c r="AW27" s="65"/>
      <c r="AX27" s="66"/>
      <c r="AY27" s="126"/>
      <c r="AZ27" s="98"/>
      <c r="BA27" s="64" t="e">
        <f>WEEKDAY([8]!Sheet_1_Table_1_13[[#This Row],[Lesson 4
Date 
(DD-MMM-YYYY)]])</f>
        <v>#REF!</v>
      </c>
      <c r="BB27" s="65"/>
      <c r="BC27" s="66"/>
      <c r="BD27" s="126"/>
      <c r="BE27" s="63"/>
      <c r="BF27" s="64" t="e">
        <f>WEEKDAY([8]!Sheet_1_Table_1_13[[#This Row],[Lesson 5
Date 
(DD-MMM-YYYY)]])</f>
        <v>#REF!</v>
      </c>
      <c r="BG27" s="65"/>
      <c r="BH27" s="66"/>
      <c r="BI27" s="126"/>
      <c r="BJ27" s="98"/>
      <c r="BK27" s="64" t="e">
        <f>WEEKDAY([8]!Sheet_1_Table_1_13[[#This Row],[Lesson 6
Date 
(DD-MMM-YYYY)]])</f>
        <v>#REF!</v>
      </c>
      <c r="BL27" s="65"/>
      <c r="BM27" s="66"/>
      <c r="BN27" s="99"/>
      <c r="BO27" s="54"/>
      <c r="BP27" s="69"/>
      <c r="BQ27" s="55"/>
      <c r="BR27" s="57"/>
      <c r="BS27" s="54"/>
      <c r="BT27" s="56"/>
      <c r="BU27" s="56"/>
      <c r="BV27" s="57"/>
      <c r="BW27" s="60"/>
      <c r="BX27" s="195"/>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31</v>
      </c>
      <c r="B28" s="49"/>
      <c r="C28" s="50"/>
      <c r="D28" s="50"/>
      <c r="E28" s="51"/>
      <c r="F28" s="52"/>
      <c r="G28" s="53"/>
      <c r="H28" s="136"/>
      <c r="I28" s="137"/>
      <c r="J28" s="60"/>
      <c r="K28" s="56"/>
      <c r="L28" s="55"/>
      <c r="M28" s="56" t="s">
        <v>342</v>
      </c>
      <c r="N28" s="57"/>
      <c r="O28" s="114"/>
      <c r="P28" s="96"/>
      <c r="Q28" s="60"/>
      <c r="R28" s="77" t="e">
        <f>VLOOKUP(Sheet_1_Table_1_133[[#This Row],[Learning Domain]],[14]List!$A$7:$B$12,2,0)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WEEKDAY([8]!Sheet_1_Table_1_13[[#This Row],[Lesson 3
Date 
(DD-MMM-YYYY)]])</f>
        <v>#REF!</v>
      </c>
      <c r="AW28" s="65"/>
      <c r="AX28" s="66"/>
      <c r="AY28" s="126"/>
      <c r="AZ28" s="98"/>
      <c r="BA28" s="64" t="e">
        <f>WEEKDAY([8]!Sheet_1_Table_1_13[[#This Row],[Lesson 4
Date 
(DD-MMM-YYYY)]])</f>
        <v>#REF!</v>
      </c>
      <c r="BB28" s="65"/>
      <c r="BC28" s="66"/>
      <c r="BD28" s="126"/>
      <c r="BE28" s="63"/>
      <c r="BF28" s="64" t="e">
        <f>WEEKDAY([8]!Sheet_1_Table_1_13[[#This Row],[Lesson 5
Date 
(DD-MMM-YYYY)]])</f>
        <v>#REF!</v>
      </c>
      <c r="BG28" s="65"/>
      <c r="BH28" s="66"/>
      <c r="BI28" s="126"/>
      <c r="BJ28" s="98"/>
      <c r="BK28" s="64" t="e">
        <f>WEEKDAY([8]!Sheet_1_Table_1_13[[#This Row],[Lesson 6
Date 
(DD-MMM-YYYY)]])</f>
        <v>#REF!</v>
      </c>
      <c r="BL28" s="65"/>
      <c r="BM28" s="66"/>
      <c r="BN28" s="99"/>
      <c r="BO28" s="54"/>
      <c r="BP28" s="69"/>
      <c r="BQ28" s="55"/>
      <c r="BR28" s="57"/>
      <c r="BS28" s="54"/>
      <c r="BT28" s="56"/>
      <c r="BU28" s="56"/>
      <c r="BV28" s="57"/>
      <c r="BW28" s="60"/>
      <c r="BX28" s="195"/>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32</v>
      </c>
      <c r="B29" s="49"/>
      <c r="C29" s="50"/>
      <c r="D29" s="50"/>
      <c r="E29" s="51"/>
      <c r="F29" s="52"/>
      <c r="G29" s="53"/>
      <c r="H29" s="136"/>
      <c r="I29" s="137"/>
      <c r="J29" s="60"/>
      <c r="K29" s="56"/>
      <c r="L29" s="55"/>
      <c r="M29" s="56" t="s">
        <v>342</v>
      </c>
      <c r="N29" s="57"/>
      <c r="O29" s="114"/>
      <c r="P29" s="96"/>
      <c r="Q29" s="60"/>
      <c r="R29" s="61" t="e">
        <f>VLOOKUP(Sheet_1_Table_1_133[[#This Row],[Learning Domain]],[14]List!$A$7:$B$12,2,0)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WEEKDAY([8]!Sheet_1_Table_1_13[[#This Row],[Lesson 3
Date 
(DD-MMM-YYYY)]])</f>
        <v>#REF!</v>
      </c>
      <c r="AW29" s="65"/>
      <c r="AX29" s="66"/>
      <c r="AY29" s="126"/>
      <c r="AZ29" s="98"/>
      <c r="BA29" s="64" t="e">
        <f>WEEKDAY([8]!Sheet_1_Table_1_13[[#This Row],[Lesson 4
Date 
(DD-MMM-YYYY)]])</f>
        <v>#REF!</v>
      </c>
      <c r="BB29" s="65"/>
      <c r="BC29" s="66"/>
      <c r="BD29" s="126"/>
      <c r="BE29" s="63"/>
      <c r="BF29" s="64" t="e">
        <f>WEEKDAY([8]!Sheet_1_Table_1_13[[#This Row],[Lesson 5
Date 
(DD-MMM-YYYY)]])</f>
        <v>#REF!</v>
      </c>
      <c r="BG29" s="65"/>
      <c r="BH29" s="66"/>
      <c r="BI29" s="126"/>
      <c r="BJ29" s="98"/>
      <c r="BK29" s="64" t="e">
        <f>WEEKDAY([8]!Sheet_1_Table_1_13[[#This Row],[Lesson 6
Date 
(DD-MMM-YYYY)]])</f>
        <v>#REF!</v>
      </c>
      <c r="BL29" s="65"/>
      <c r="BM29" s="66"/>
      <c r="BN29" s="99"/>
      <c r="BO29" s="54"/>
      <c r="BP29" s="69"/>
      <c r="BQ29" s="55"/>
      <c r="BR29" s="57"/>
      <c r="BS29" s="54"/>
      <c r="BT29" s="56"/>
      <c r="BU29" s="56"/>
      <c r="BV29" s="57"/>
      <c r="BW29" s="60"/>
      <c r="BX29" s="195"/>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33</v>
      </c>
      <c r="B30" s="49"/>
      <c r="C30" s="50"/>
      <c r="D30" s="50"/>
      <c r="E30" s="51"/>
      <c r="F30" s="52"/>
      <c r="G30" s="53"/>
      <c r="H30" s="136"/>
      <c r="I30" s="137"/>
      <c r="J30" s="60"/>
      <c r="K30" s="56"/>
      <c r="L30" s="55"/>
      <c r="M30" s="56" t="s">
        <v>342</v>
      </c>
      <c r="N30" s="57"/>
      <c r="O30" s="114"/>
      <c r="P30" s="96"/>
      <c r="Q30" s="60"/>
      <c r="R30" s="77" t="e">
        <f>VLOOKUP(Sheet_1_Table_1_133[[#This Row],[Learning Domain]],[14]List!$A$7:$B$12,2,0)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WEEKDAY([8]!Sheet_1_Table_1_13[[#This Row],[Lesson 3
Date 
(DD-MMM-YYYY)]])</f>
        <v>#REF!</v>
      </c>
      <c r="AW30" s="65"/>
      <c r="AX30" s="66"/>
      <c r="AY30" s="126"/>
      <c r="AZ30" s="98"/>
      <c r="BA30" s="64" t="e">
        <f>WEEKDAY([8]!Sheet_1_Table_1_13[[#This Row],[Lesson 4
Date 
(DD-MMM-YYYY)]])</f>
        <v>#REF!</v>
      </c>
      <c r="BB30" s="65"/>
      <c r="BC30" s="66"/>
      <c r="BD30" s="126"/>
      <c r="BE30" s="63"/>
      <c r="BF30" s="64" t="e">
        <f>WEEKDAY([8]!Sheet_1_Table_1_13[[#This Row],[Lesson 5
Date 
(DD-MMM-YYYY)]])</f>
        <v>#REF!</v>
      </c>
      <c r="BG30" s="65"/>
      <c r="BH30" s="66"/>
      <c r="BI30" s="126"/>
      <c r="BJ30" s="98"/>
      <c r="BK30" s="64" t="e">
        <f>WEEKDAY([8]!Sheet_1_Table_1_13[[#This Row],[Lesson 6
Date 
(DD-MMM-YYYY)]])</f>
        <v>#REF!</v>
      </c>
      <c r="BL30" s="65"/>
      <c r="BM30" s="66"/>
      <c r="BN30" s="99"/>
      <c r="BO30" s="54"/>
      <c r="BP30" s="69"/>
      <c r="BQ30" s="55"/>
      <c r="BR30" s="57"/>
      <c r="BS30" s="54"/>
      <c r="BT30" s="56"/>
      <c r="BU30" s="56"/>
      <c r="BV30" s="57"/>
      <c r="BW30" s="60"/>
      <c r="BX30" s="195"/>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34</v>
      </c>
      <c r="B31" s="49"/>
      <c r="C31" s="50"/>
      <c r="D31" s="50"/>
      <c r="E31" s="51"/>
      <c r="F31" s="52"/>
      <c r="G31" s="53"/>
      <c r="H31" s="136"/>
      <c r="I31" s="137"/>
      <c r="J31" s="60"/>
      <c r="K31" s="56"/>
      <c r="L31" s="55"/>
      <c r="M31" s="56" t="s">
        <v>342</v>
      </c>
      <c r="N31" s="57"/>
      <c r="O31" s="114"/>
      <c r="P31" s="96"/>
      <c r="Q31" s="60"/>
      <c r="R31" s="61" t="e">
        <f>VLOOKUP(Sheet_1_Table_1_133[[#This Row],[Learning Domain]],[14]List!$A$7:$B$12,2,0)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WEEKDAY([8]!Sheet_1_Table_1_13[[#This Row],[Lesson 3
Date 
(DD-MMM-YYYY)]])</f>
        <v>#REF!</v>
      </c>
      <c r="AW31" s="65"/>
      <c r="AX31" s="66"/>
      <c r="AY31" s="126"/>
      <c r="AZ31" s="98"/>
      <c r="BA31" s="64" t="e">
        <f>WEEKDAY([8]!Sheet_1_Table_1_13[[#This Row],[Lesson 4
Date 
(DD-MMM-YYYY)]])</f>
        <v>#REF!</v>
      </c>
      <c r="BB31" s="65"/>
      <c r="BC31" s="66"/>
      <c r="BD31" s="126"/>
      <c r="BE31" s="63"/>
      <c r="BF31" s="64" t="e">
        <f>WEEKDAY([8]!Sheet_1_Table_1_13[[#This Row],[Lesson 5
Date 
(DD-MMM-YYYY)]])</f>
        <v>#REF!</v>
      </c>
      <c r="BG31" s="65"/>
      <c r="BH31" s="66"/>
      <c r="BI31" s="126"/>
      <c r="BJ31" s="98"/>
      <c r="BK31" s="64" t="e">
        <f>WEEKDAY([8]!Sheet_1_Table_1_13[[#This Row],[Lesson 6
Date 
(DD-MMM-YYYY)]])</f>
        <v>#REF!</v>
      </c>
      <c r="BL31" s="65"/>
      <c r="BM31" s="66"/>
      <c r="BN31" s="99"/>
      <c r="BO31" s="54"/>
      <c r="BP31" s="69"/>
      <c r="BQ31" s="55"/>
      <c r="BR31" s="57"/>
      <c r="BS31" s="54"/>
      <c r="BT31" s="56"/>
      <c r="BU31" s="56"/>
      <c r="BV31" s="57"/>
      <c r="BW31" s="60"/>
      <c r="BX31" s="195"/>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35</v>
      </c>
      <c r="B32" s="49"/>
      <c r="C32" s="50"/>
      <c r="D32" s="50"/>
      <c r="E32" s="51"/>
      <c r="F32" s="52"/>
      <c r="G32" s="53"/>
      <c r="H32" s="136"/>
      <c r="I32" s="137"/>
      <c r="J32" s="60"/>
      <c r="K32" s="56"/>
      <c r="L32" s="55"/>
      <c r="M32" s="56" t="s">
        <v>342</v>
      </c>
      <c r="N32" s="57"/>
      <c r="O32" s="114"/>
      <c r="P32" s="96"/>
      <c r="Q32" s="60"/>
      <c r="R32" s="77" t="e">
        <f>VLOOKUP(Sheet_1_Table_1_133[[#This Row],[Learning Domain]],[14]List!$A$7:$B$12,2,0)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WEEKDAY([8]!Sheet_1_Table_1_13[[#This Row],[Lesson 3
Date 
(DD-MMM-YYYY)]])</f>
        <v>#REF!</v>
      </c>
      <c r="AW32" s="65"/>
      <c r="AX32" s="66"/>
      <c r="AY32" s="126"/>
      <c r="AZ32" s="98"/>
      <c r="BA32" s="64" t="e">
        <f>WEEKDAY([8]!Sheet_1_Table_1_13[[#This Row],[Lesson 4
Date 
(DD-MMM-YYYY)]])</f>
        <v>#REF!</v>
      </c>
      <c r="BB32" s="65"/>
      <c r="BC32" s="66"/>
      <c r="BD32" s="126"/>
      <c r="BE32" s="63"/>
      <c r="BF32" s="64" t="e">
        <f>WEEKDAY([8]!Sheet_1_Table_1_13[[#This Row],[Lesson 5
Date 
(DD-MMM-YYYY)]])</f>
        <v>#REF!</v>
      </c>
      <c r="BG32" s="65"/>
      <c r="BH32" s="66"/>
      <c r="BI32" s="126"/>
      <c r="BJ32" s="98"/>
      <c r="BK32" s="64" t="e">
        <f>WEEKDAY([8]!Sheet_1_Table_1_13[[#This Row],[Lesson 6
Date 
(DD-MMM-YYYY)]])</f>
        <v>#REF!</v>
      </c>
      <c r="BL32" s="65"/>
      <c r="BM32" s="66"/>
      <c r="BN32" s="99"/>
      <c r="BO32" s="54"/>
      <c r="BP32" s="69"/>
      <c r="BQ32" s="55"/>
      <c r="BR32" s="57"/>
      <c r="BS32" s="54"/>
      <c r="BT32" s="56"/>
      <c r="BU32" s="56"/>
      <c r="BV32" s="57"/>
      <c r="BW32" s="60"/>
      <c r="BX32" s="195"/>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36</v>
      </c>
      <c r="B33" s="49"/>
      <c r="C33" s="50"/>
      <c r="D33" s="50"/>
      <c r="E33" s="51"/>
      <c r="F33" s="52"/>
      <c r="G33" s="53"/>
      <c r="H33" s="136"/>
      <c r="I33" s="137"/>
      <c r="J33" s="60"/>
      <c r="K33" s="56"/>
      <c r="L33" s="55"/>
      <c r="M33" s="56" t="s">
        <v>342</v>
      </c>
      <c r="N33" s="57"/>
      <c r="O33" s="114"/>
      <c r="P33" s="96"/>
      <c r="Q33" s="60"/>
      <c r="R33" s="61" t="e">
        <f>VLOOKUP(Sheet_1_Table_1_133[[#This Row],[Learning Domain]],[14]List!$A$7:$B$12,2,0)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WEEKDAY([8]!Sheet_1_Table_1_13[[#This Row],[Lesson 3
Date 
(DD-MMM-YYYY)]])</f>
        <v>#REF!</v>
      </c>
      <c r="AW33" s="65"/>
      <c r="AX33" s="66"/>
      <c r="AY33" s="126"/>
      <c r="AZ33" s="98"/>
      <c r="BA33" s="64" t="e">
        <f>WEEKDAY([8]!Sheet_1_Table_1_13[[#This Row],[Lesson 4
Date 
(DD-MMM-YYYY)]])</f>
        <v>#REF!</v>
      </c>
      <c r="BB33" s="65"/>
      <c r="BC33" s="66"/>
      <c r="BD33" s="126"/>
      <c r="BE33" s="63"/>
      <c r="BF33" s="64" t="e">
        <f>WEEKDAY([8]!Sheet_1_Table_1_13[[#This Row],[Lesson 5
Date 
(DD-MMM-YYYY)]])</f>
        <v>#REF!</v>
      </c>
      <c r="BG33" s="65"/>
      <c r="BH33" s="66"/>
      <c r="BI33" s="126"/>
      <c r="BJ33" s="98"/>
      <c r="BK33" s="64" t="e">
        <f>WEEKDAY([8]!Sheet_1_Table_1_13[[#This Row],[Lesson 6
Date 
(DD-MMM-YYYY)]])</f>
        <v>#REF!</v>
      </c>
      <c r="BL33" s="65"/>
      <c r="BM33" s="66"/>
      <c r="BN33" s="99"/>
      <c r="BO33" s="54"/>
      <c r="BP33" s="69"/>
      <c r="BQ33" s="55"/>
      <c r="BR33" s="57"/>
      <c r="BS33" s="54"/>
      <c r="BT33" s="56"/>
      <c r="BU33" s="56"/>
      <c r="BV33" s="57"/>
      <c r="BW33" s="60"/>
      <c r="BX33" s="195"/>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37</v>
      </c>
      <c r="B34" s="49"/>
      <c r="C34" s="50"/>
      <c r="D34" s="50"/>
      <c r="E34" s="51"/>
      <c r="F34" s="52"/>
      <c r="G34" s="53"/>
      <c r="H34" s="136"/>
      <c r="I34" s="137"/>
      <c r="J34" s="60"/>
      <c r="K34" s="56"/>
      <c r="L34" s="55"/>
      <c r="M34" s="56" t="s">
        <v>342</v>
      </c>
      <c r="N34" s="57"/>
      <c r="O34" s="114"/>
      <c r="P34" s="96"/>
      <c r="Q34" s="60"/>
      <c r="R34" s="77" t="e">
        <f>VLOOKUP(Sheet_1_Table_1_133[[#This Row],[Learning Domain]],[14]List!$A$7:$B$12,2,0)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WEEKDAY([8]!Sheet_1_Table_1_13[[#This Row],[Lesson 3
Date 
(DD-MMM-YYYY)]])</f>
        <v>#REF!</v>
      </c>
      <c r="AW34" s="65"/>
      <c r="AX34" s="66"/>
      <c r="AY34" s="126"/>
      <c r="AZ34" s="98"/>
      <c r="BA34" s="64" t="e">
        <f>WEEKDAY([8]!Sheet_1_Table_1_13[[#This Row],[Lesson 4
Date 
(DD-MMM-YYYY)]])</f>
        <v>#REF!</v>
      </c>
      <c r="BB34" s="65"/>
      <c r="BC34" s="66"/>
      <c r="BD34" s="126"/>
      <c r="BE34" s="63"/>
      <c r="BF34" s="64" t="e">
        <f>WEEKDAY([8]!Sheet_1_Table_1_13[[#This Row],[Lesson 5
Date 
(DD-MMM-YYYY)]])</f>
        <v>#REF!</v>
      </c>
      <c r="BG34" s="65"/>
      <c r="BH34" s="66"/>
      <c r="BI34" s="126"/>
      <c r="BJ34" s="98"/>
      <c r="BK34" s="64" t="e">
        <f>WEEKDAY([8]!Sheet_1_Table_1_13[[#This Row],[Lesson 6
Date 
(DD-MMM-YYYY)]])</f>
        <v>#REF!</v>
      </c>
      <c r="BL34" s="65"/>
      <c r="BM34" s="66"/>
      <c r="BN34" s="99"/>
      <c r="BO34" s="54"/>
      <c r="BP34" s="69"/>
      <c r="BQ34" s="55"/>
      <c r="BR34" s="57"/>
      <c r="BS34" s="54"/>
      <c r="BT34" s="56"/>
      <c r="BU34" s="56"/>
      <c r="BV34" s="57"/>
      <c r="BW34" s="60"/>
      <c r="BX34" s="195"/>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38</v>
      </c>
      <c r="B35" s="49"/>
      <c r="C35" s="50"/>
      <c r="D35" s="50"/>
      <c r="E35" s="51"/>
      <c r="F35" s="52"/>
      <c r="G35" s="53"/>
      <c r="H35" s="136"/>
      <c r="I35" s="137"/>
      <c r="J35" s="60"/>
      <c r="K35" s="56"/>
      <c r="L35" s="55"/>
      <c r="M35" s="56" t="s">
        <v>342</v>
      </c>
      <c r="N35" s="57"/>
      <c r="O35" s="114"/>
      <c r="P35" s="96"/>
      <c r="Q35" s="60"/>
      <c r="R35" s="61" t="e">
        <f>VLOOKUP(Sheet_1_Table_1_133[[#This Row],[Learning Domain]],[14]List!$A$7:$B$12,2,0)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39</v>
      </c>
      <c r="B36" s="49"/>
      <c r="C36" s="50"/>
      <c r="D36" s="50"/>
      <c r="E36" s="51"/>
      <c r="F36" s="52"/>
      <c r="G36" s="53"/>
      <c r="H36" s="136"/>
      <c r="I36" s="137"/>
      <c r="J36" s="60"/>
      <c r="K36" s="56"/>
      <c r="L36" s="55"/>
      <c r="M36" s="56" t="s">
        <v>342</v>
      </c>
      <c r="N36" s="57"/>
      <c r="O36" s="114"/>
      <c r="P36" s="96"/>
      <c r="Q36" s="60"/>
      <c r="R36" s="77" t="e">
        <f>VLOOKUP(Sheet_1_Table_1_133[[#This Row],[Learning Domain]],[14]List!$A$7:$B$12,2,0)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64">
        <f>WEEKDAY(Sheet_1_Table_1_133[[#This Row],[Lesson 1 
Date 
(DD-MMM-YYYY)]])</f>
        <v>7</v>
      </c>
      <c r="AM36" s="65"/>
      <c r="AN36" s="66"/>
      <c r="AO36" s="67"/>
      <c r="AP36" s="68"/>
      <c r="AQ36" s="64">
        <f>WEEKDAY(Sheet_1_Table_1_133[[#This Row],[Lesson 2
Date 
(DD-MMM-YYYY)]]
)</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40</v>
      </c>
      <c r="B37" s="49"/>
      <c r="C37" s="50"/>
      <c r="D37" s="50"/>
      <c r="E37" s="51"/>
      <c r="F37" s="52"/>
      <c r="G37" s="53"/>
      <c r="H37" s="136"/>
      <c r="I37" s="137"/>
      <c r="J37" s="60"/>
      <c r="K37" s="56"/>
      <c r="L37" s="55"/>
      <c r="M37" s="56" t="s">
        <v>342</v>
      </c>
      <c r="N37" s="57"/>
      <c r="O37" s="114"/>
      <c r="P37" s="96"/>
      <c r="Q37" s="60"/>
      <c r="R37" s="61" t="e">
        <f>VLOOKUP(Sheet_1_Table_1_133[[#This Row],[Learning Domain]],[14]List!$A$7:$B$12,2,0)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41</v>
      </c>
      <c r="B38" s="49"/>
      <c r="C38" s="50"/>
      <c r="D38" s="50"/>
      <c r="E38" s="51"/>
      <c r="F38" s="54"/>
      <c r="G38" s="53"/>
      <c r="H38" s="136"/>
      <c r="I38" s="137"/>
      <c r="J38" s="60"/>
      <c r="K38" s="56"/>
      <c r="L38" s="55"/>
      <c r="M38" s="56" t="s">
        <v>342</v>
      </c>
      <c r="N38" s="57"/>
      <c r="O38" s="114"/>
      <c r="P38" s="96"/>
      <c r="Q38" s="60"/>
      <c r="R38" s="61" t="e">
        <f>VLOOKUP(Sheet_1_Table_1_133[[#This Row],[Learning Domain]],[14]List!$A$7:$B$12,2,0)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64">
        <f>WEEKDAY(Sheet_1_Table_1_133[[#This Row],[Lesson 1 
Date 
(DD-MMM-YYYY)]])</f>
        <v>7</v>
      </c>
      <c r="AM38" s="65"/>
      <c r="AN38" s="66"/>
      <c r="AO38" s="67"/>
      <c r="AP38" s="68"/>
      <c r="AQ38" s="64">
        <f>WEEKDAY(Sheet_1_Table_1_133[[#This Row],[Lesson 2
Date 
(DD-MMM-YYYY)]]
)</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42</v>
      </c>
      <c r="B39" s="49"/>
      <c r="C39" s="50"/>
      <c r="D39" s="50"/>
      <c r="E39" s="51"/>
      <c r="F39" s="54"/>
      <c r="G39" s="53"/>
      <c r="H39" s="136"/>
      <c r="I39" s="137"/>
      <c r="J39" s="60"/>
      <c r="K39" s="56"/>
      <c r="L39" s="55"/>
      <c r="M39" s="56" t="s">
        <v>342</v>
      </c>
      <c r="N39" s="57"/>
      <c r="O39" s="114"/>
      <c r="P39" s="96"/>
      <c r="Q39" s="60"/>
      <c r="R39" s="77" t="e">
        <f>VLOOKUP(Sheet_1_Table_1_133[[#This Row],[Learning Domain]],[14]List!$A$7:$B$12,2,0)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165">
        <f>WEEKDAY(Sheet_1_Table_1_133[[#This Row],[Lesson 1 
Date 
(DD-MMM-YYYY)]])</f>
        <v>7</v>
      </c>
      <c r="AM39" s="65"/>
      <c r="AN39" s="66"/>
      <c r="AO39" s="67"/>
      <c r="AP39" s="68"/>
      <c r="AQ39" s="64">
        <f>WEEKDAY(Sheet_1_Table_1_133[[#This Row],[Lesson 2
Date 
(DD-MMM-YYYY)]]
)</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43</v>
      </c>
      <c r="B40" s="49"/>
      <c r="C40" s="50"/>
      <c r="D40" s="50"/>
      <c r="E40" s="51"/>
      <c r="F40" s="54"/>
      <c r="G40" s="53"/>
      <c r="H40" s="136"/>
      <c r="I40" s="137"/>
      <c r="J40" s="60"/>
      <c r="K40" s="56"/>
      <c r="L40" s="55"/>
      <c r="M40" s="56" t="s">
        <v>342</v>
      </c>
      <c r="N40" s="57"/>
      <c r="O40" s="114"/>
      <c r="P40" s="96"/>
      <c r="Q40" s="60"/>
      <c r="R40" s="61" t="e">
        <f>VLOOKUP(Sheet_1_Table_1_133[[#This Row],[Learning Domain]],[14]List!$A$7:$B$12,2,0)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64">
        <f>WEEKDAY(Sheet_1_Table_1_133[[#This Row],[Lesson 1 
Date 
(DD-MMM-YYYY)]])</f>
        <v>7</v>
      </c>
      <c r="AM40" s="65"/>
      <c r="AN40" s="66"/>
      <c r="AO40" s="67"/>
      <c r="AP40" s="68"/>
      <c r="AQ40" s="64">
        <f>WEEKDAY(Sheet_1_Table_1_133[[#This Row],[Lesson 2
Date 
(DD-MMM-YYYY)]]
)</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44</v>
      </c>
      <c r="B41" s="49"/>
      <c r="C41" s="50"/>
      <c r="D41" s="50"/>
      <c r="E41" s="51"/>
      <c r="F41" s="54"/>
      <c r="G41" s="53"/>
      <c r="H41" s="136"/>
      <c r="I41" s="137"/>
      <c r="J41" s="60"/>
      <c r="K41" s="56"/>
      <c r="L41" s="55"/>
      <c r="M41" s="56" t="s">
        <v>342</v>
      </c>
      <c r="N41" s="57"/>
      <c r="O41" s="114"/>
      <c r="P41" s="96"/>
      <c r="Q41" s="60"/>
      <c r="R41" s="61" t="e">
        <f>VLOOKUP(Sheet_1_Table_1_133[[#This Row],[Learning Domain]],[14]List!$A$7:$B$12,2,0)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165">
        <f>WEEKDAY(Sheet_1_Table_1_133[[#This Row],[Lesson 1 
Date 
(DD-MMM-YYYY)]])</f>
        <v>7</v>
      </c>
      <c r="AM41" s="65"/>
      <c r="AN41" s="66"/>
      <c r="AO41" s="67"/>
      <c r="AP41" s="68"/>
      <c r="AQ41" s="64">
        <f>WEEKDAY(Sheet_1_Table_1_133[[#This Row],[Lesson 2
Date 
(DD-MMM-YYYY)]]
)</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45</v>
      </c>
      <c r="B42" s="49"/>
      <c r="C42" s="50"/>
      <c r="D42" s="50"/>
      <c r="E42" s="51"/>
      <c r="F42" s="54"/>
      <c r="G42" s="53"/>
      <c r="H42" s="136"/>
      <c r="I42" s="137"/>
      <c r="J42" s="60"/>
      <c r="K42" s="56"/>
      <c r="L42" s="55"/>
      <c r="M42" s="56" t="s">
        <v>342</v>
      </c>
      <c r="N42" s="57"/>
      <c r="O42" s="114"/>
      <c r="P42" s="96"/>
      <c r="Q42" s="60"/>
      <c r="R42" s="77" t="e">
        <f>VLOOKUP(Sheet_1_Table_1_133[[#This Row],[Learning Domain]],[14]List!$A$7:$B$12,2,0)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46</v>
      </c>
      <c r="B43" s="49"/>
      <c r="C43" s="50"/>
      <c r="D43" s="50"/>
      <c r="E43" s="51"/>
      <c r="F43" s="54"/>
      <c r="G43" s="53"/>
      <c r="H43" s="136"/>
      <c r="I43" s="137"/>
      <c r="J43" s="60"/>
      <c r="K43" s="56"/>
      <c r="L43" s="55"/>
      <c r="M43" s="56" t="s">
        <v>342</v>
      </c>
      <c r="N43" s="57"/>
      <c r="O43" s="114"/>
      <c r="P43" s="96"/>
      <c r="Q43" s="60"/>
      <c r="R43" s="61" t="e">
        <f>VLOOKUP(Sheet_1_Table_1_133[[#This Row],[Learning Domain]],[14]List!$A$7:$B$12,2,0)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165">
        <f>WEEKDAY(Sheet_1_Table_1_133[[#This Row],[Lesson 1 
Date 
(DD-MMM-YYYY)]])</f>
        <v>7</v>
      </c>
      <c r="AM43" s="65"/>
      <c r="AN43" s="66"/>
      <c r="AO43" s="67"/>
      <c r="AP43" s="68"/>
      <c r="AQ43" s="64">
        <f>WEEKDAY(Sheet_1_Table_1_133[[#This Row],[Lesson 2
Date 
(DD-MMM-YYYY)]]
)</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47</v>
      </c>
      <c r="B44" s="49"/>
      <c r="C44" s="50"/>
      <c r="D44" s="50"/>
      <c r="E44" s="51"/>
      <c r="F44" s="54"/>
      <c r="G44" s="53"/>
      <c r="H44" s="136"/>
      <c r="I44" s="137"/>
      <c r="J44" s="60"/>
      <c r="K44" s="56"/>
      <c r="L44" s="55"/>
      <c r="M44" s="56" t="s">
        <v>342</v>
      </c>
      <c r="N44" s="57"/>
      <c r="O44" s="114"/>
      <c r="P44" s="96"/>
      <c r="Q44" s="60"/>
      <c r="R44" s="61" t="e">
        <f>VLOOKUP(Sheet_1_Table_1_133[[#This Row],[Learning Domain]],[14]List!$A$7:$B$12,2,0)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48</v>
      </c>
      <c r="B45" s="49"/>
      <c r="C45" s="50"/>
      <c r="D45" s="50"/>
      <c r="E45" s="51"/>
      <c r="F45" s="54"/>
      <c r="G45" s="53"/>
      <c r="H45" s="136"/>
      <c r="I45" s="137"/>
      <c r="J45" s="60"/>
      <c r="K45" s="56"/>
      <c r="L45" s="55"/>
      <c r="M45" s="56" t="s">
        <v>342</v>
      </c>
      <c r="N45" s="57"/>
      <c r="O45" s="114"/>
      <c r="P45" s="96"/>
      <c r="Q45" s="60"/>
      <c r="R45" s="77" t="e">
        <f>VLOOKUP(Sheet_1_Table_1_133[[#This Row],[Learning Domain]],[14]List!$A$7:$B$12,2,0)</f>
        <v>#N/A</v>
      </c>
      <c r="S45" s="55">
        <v>0</v>
      </c>
      <c r="T45" s="55">
        <v>0</v>
      </c>
      <c r="U45" s="55">
        <v>0</v>
      </c>
      <c r="V45" s="55">
        <v>0</v>
      </c>
      <c r="W45" s="55">
        <v>0</v>
      </c>
      <c r="X45" s="55">
        <v>0</v>
      </c>
      <c r="Y45" s="55">
        <v>0</v>
      </c>
      <c r="Z45" s="55">
        <v>0</v>
      </c>
      <c r="AA45" s="55">
        <v>0</v>
      </c>
      <c r="AB45" s="53">
        <f>SUM(Sheet_1_Table_1_133[[#This Row],[Leadership LS]:[Career Development  CR]])</f>
        <v>0</v>
      </c>
      <c r="AC45" s="97"/>
      <c r="AD45" s="55"/>
      <c r="AE45" s="55" t="s">
        <v>142</v>
      </c>
      <c r="AF45" s="55" t="s">
        <v>142</v>
      </c>
      <c r="AG45" s="55" t="s">
        <v>142</v>
      </c>
      <c r="AH45" s="55"/>
      <c r="AI45" s="55"/>
      <c r="AJ45" s="62">
        <f>Sheet_1_Table_1_133[[#This Row],[ILP Units Per Session]]*Sheet_1_Table_1_133[[#This Row],[Quota]]</f>
        <v>0</v>
      </c>
      <c r="AK45" s="63"/>
      <c r="AL45" s="64">
        <f>WEEKDAY(Sheet_1_Table_1_133[[#This Row],[Lesson 1 
Date 
(DD-MMM-YYYY)]])</f>
        <v>7</v>
      </c>
      <c r="AM45" s="65"/>
      <c r="AN45" s="66"/>
      <c r="AO45" s="67"/>
      <c r="AP45" s="68"/>
      <c r="AQ45" s="64">
        <f>WEEKDAY(Sheet_1_Table_1_133[[#This Row],[Lesson 2
Date 
(DD-MMM-YYYY)]]
)</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49</v>
      </c>
      <c r="B46" s="49"/>
      <c r="C46" s="50"/>
      <c r="D46" s="50"/>
      <c r="E46" s="51"/>
      <c r="F46" s="54"/>
      <c r="G46" s="53"/>
      <c r="H46" s="136"/>
      <c r="I46" s="137"/>
      <c r="J46" s="60"/>
      <c r="K46" s="56"/>
      <c r="L46" s="55"/>
      <c r="M46" s="56" t="s">
        <v>342</v>
      </c>
      <c r="N46" s="57"/>
      <c r="O46" s="114"/>
      <c r="P46" s="96"/>
      <c r="Q46" s="60"/>
      <c r="R46" s="61" t="e">
        <f>VLOOKUP(Sheet_1_Table_1_133[[#This Row],[Learning Domain]],[14]List!$A$7:$B$12,2,0)</f>
        <v>#N/A</v>
      </c>
      <c r="S46" s="55">
        <v>0</v>
      </c>
      <c r="T46" s="55">
        <v>0</v>
      </c>
      <c r="U46" s="55">
        <v>0</v>
      </c>
      <c r="V46" s="55">
        <v>0</v>
      </c>
      <c r="W46" s="55">
        <v>0</v>
      </c>
      <c r="X46" s="55">
        <v>0</v>
      </c>
      <c r="Y46" s="55">
        <v>0</v>
      </c>
      <c r="Z46" s="55">
        <v>0</v>
      </c>
      <c r="AA46" s="55">
        <v>0</v>
      </c>
      <c r="AB46" s="53">
        <f>SUM(Sheet_1_Table_1_133[[#This Row],[Leadership LS]:[Career Development  CR]])</f>
        <v>0</v>
      </c>
      <c r="AC46" s="97"/>
      <c r="AD46" s="55"/>
      <c r="AE46" s="55" t="s">
        <v>142</v>
      </c>
      <c r="AF46" s="55" t="s">
        <v>142</v>
      </c>
      <c r="AG46" s="55" t="s">
        <v>142</v>
      </c>
      <c r="AH46" s="55"/>
      <c r="AI46" s="55"/>
      <c r="AJ46" s="62">
        <f>Sheet_1_Table_1_133[[#This Row],[ILP Units Per Session]]*Sheet_1_Table_1_133[[#This Row],[Quota]]</f>
        <v>0</v>
      </c>
      <c r="AK46" s="63"/>
      <c r="AL46" s="64">
        <f>WEEKDAY(Sheet_1_Table_1_133[[#This Row],[Lesson 1 
Date 
(DD-MMM-YYYY)]])</f>
        <v>7</v>
      </c>
      <c r="AM46" s="65"/>
      <c r="AN46" s="66"/>
      <c r="AO46" s="67"/>
      <c r="AP46" s="68"/>
      <c r="AQ46" s="64">
        <f>WEEKDAY(Sheet_1_Table_1_133[[#This Row],[Lesson 2
Date 
(DD-MMM-YYYY)]]
)</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50</v>
      </c>
      <c r="B47" s="49"/>
      <c r="C47" s="50"/>
      <c r="D47" s="50"/>
      <c r="E47" s="51"/>
      <c r="F47" s="54"/>
      <c r="G47" s="53"/>
      <c r="H47" s="136"/>
      <c r="I47" s="137"/>
      <c r="J47" s="60"/>
      <c r="K47" s="56"/>
      <c r="L47" s="55"/>
      <c r="M47" s="56" t="s">
        <v>342</v>
      </c>
      <c r="N47" s="57"/>
      <c r="O47" s="114"/>
      <c r="P47" s="96"/>
      <c r="Q47" s="60"/>
      <c r="R47" s="61" t="e">
        <f>VLOOKUP(Sheet_1_Table_1_133[[#This Row],[Learning Domain]],[14]List!$A$7:$B$12,2,0)</f>
        <v>#N/A</v>
      </c>
      <c r="S47" s="55">
        <v>0</v>
      </c>
      <c r="T47" s="55">
        <v>0</v>
      </c>
      <c r="U47" s="55">
        <v>0</v>
      </c>
      <c r="V47" s="55">
        <v>0</v>
      </c>
      <c r="W47" s="55">
        <v>0</v>
      </c>
      <c r="X47" s="55">
        <v>0</v>
      </c>
      <c r="Y47" s="55">
        <v>0</v>
      </c>
      <c r="Z47" s="55">
        <v>0</v>
      </c>
      <c r="AA47" s="55">
        <v>0</v>
      </c>
      <c r="AB47" s="53">
        <f>SUM(Sheet_1_Table_1_133[[#This Row],[Leadership LS]:[Career Development  CR]])</f>
        <v>0</v>
      </c>
      <c r="AC47" s="97"/>
      <c r="AD47" s="55"/>
      <c r="AE47" s="55" t="s">
        <v>142</v>
      </c>
      <c r="AF47" s="55" t="s">
        <v>142</v>
      </c>
      <c r="AG47" s="55" t="s">
        <v>142</v>
      </c>
      <c r="AH47" s="55"/>
      <c r="AI47" s="55"/>
      <c r="AJ47" s="62">
        <f>Sheet_1_Table_1_133[[#This Row],[ILP Units Per Session]]*Sheet_1_Table_1_133[[#This Row],[Quota]]</f>
        <v>0</v>
      </c>
      <c r="AK47" s="63"/>
      <c r="AL47" s="64">
        <f>WEEKDAY(Sheet_1_Table_1_133[[#This Row],[Lesson 1 
Date 
(DD-MMM-YYYY)]])</f>
        <v>7</v>
      </c>
      <c r="AM47" s="65"/>
      <c r="AN47" s="66"/>
      <c r="AO47" s="67"/>
      <c r="AP47" s="68"/>
      <c r="AQ47" s="64">
        <f>WEEKDAY(Sheet_1_Table_1_133[[#This Row],[Lesson 2
Date 
(DD-MMM-YYYY)]]
)</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20">
    <cfRule type="cellIs" dxfId="62" priority="5" operator="greaterThan">
      <formula>0</formula>
    </cfRule>
  </conditionalFormatting>
  <conditionalFormatting sqref="K21:L22">
    <cfRule type="cellIs" dxfId="61" priority="6" operator="greaterThan">
      <formula>0</formula>
    </cfRule>
  </conditionalFormatting>
  <conditionalFormatting sqref="L3">
    <cfRule type="cellIs" dxfId="60" priority="16" operator="greaterThan">
      <formula>0</formula>
    </cfRule>
  </conditionalFormatting>
  <conditionalFormatting sqref="S3:AA47 K23">
    <cfRule type="cellIs" dxfId="59" priority="2" operator="greaterThan">
      <formula>0</formula>
    </cfRule>
  </conditionalFormatting>
  <conditionalFormatting sqref="AB3:AB47">
    <cfRule type="cellIs" dxfId="58" priority="3" operator="notEqual">
      <formula>100</formula>
    </cfRule>
    <cfRule type="cellIs" dxfId="57" priority="4" operator="equal">
      <formula>100</formula>
    </cfRule>
  </conditionalFormatting>
  <conditionalFormatting sqref="AE3:AG47 CI3:CZ47 DI3:DJ47">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9" r:id="rId14" xr:uid="{67C11269-7E66-4310-B83F-74E4DEBEAE03}"/>
    <hyperlink ref="CH19" r:id="rId15" xr:uid="{7B4CA444-0D5D-4C0F-BE60-1B36827CB68C}"/>
    <hyperlink ref="CF20" r:id="rId16" xr:uid="{77F53226-4606-44BF-901D-03E05FF0B482}"/>
    <hyperlink ref="CF21" r:id="rId17" xr:uid="{429B38B6-7675-4379-95E2-57FBD8202803}"/>
    <hyperlink ref="CF22" r:id="rId18" xr:uid="{10C5A61C-5F12-4D63-868E-15482CE5E3C9}"/>
    <hyperlink ref="CH20" r:id="rId19" xr:uid="{CFE7B0BE-A030-4B59-A766-0220E0C80021}"/>
    <hyperlink ref="CH21" r:id="rId20" xr:uid="{E683EFE2-076F-41E9-AB3F-E782612A697D}"/>
    <hyperlink ref="CH22" r:id="rId21" xr:uid="{0478CB64-FDA8-4D22-9DCC-DD3A5983AB24}"/>
    <hyperlink ref="CF23" r:id="rId22" xr:uid="{30686CF1-A6D8-45C0-80DE-C2DC934D1ADC}"/>
    <hyperlink ref="CH23"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BR27" zoomScale="85" zoomScaleNormal="85" workbookViewId="0">
      <selection activeCell="CA21" sqref="CA21"/>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9" t="s">
        <v>0</v>
      </c>
      <c r="C1" s="807"/>
      <c r="D1" s="807"/>
      <c r="E1" s="803"/>
      <c r="F1" s="2"/>
      <c r="G1" s="2"/>
      <c r="H1" s="802" t="s">
        <v>1</v>
      </c>
      <c r="I1" s="803"/>
      <c r="K1" s="802" t="s">
        <v>2</v>
      </c>
      <c r="L1" s="803"/>
      <c r="M1" s="4"/>
      <c r="N1" s="4"/>
      <c r="O1" s="804" t="s">
        <v>3</v>
      </c>
      <c r="P1" s="806"/>
      <c r="Q1" s="802" t="s">
        <v>4</v>
      </c>
      <c r="R1" s="803"/>
      <c r="S1" s="802" t="s">
        <v>5</v>
      </c>
      <c r="T1" s="807"/>
      <c r="U1" s="807"/>
      <c r="V1" s="807"/>
      <c r="W1" s="807"/>
      <c r="X1" s="807"/>
      <c r="Y1" s="807"/>
      <c r="Z1" s="807"/>
      <c r="AA1" s="807"/>
      <c r="AB1" s="803"/>
      <c r="AD1" s="3"/>
      <c r="AE1" s="3"/>
      <c r="AH1" s="804" t="s">
        <v>6</v>
      </c>
      <c r="AI1" s="805"/>
      <c r="AJ1" s="806"/>
      <c r="AK1" s="5" t="s">
        <v>7</v>
      </c>
      <c r="AL1" s="3"/>
      <c r="AM1" s="3"/>
      <c r="AN1" s="3"/>
      <c r="AP1" s="804" t="s">
        <v>8</v>
      </c>
      <c r="AQ1" s="805"/>
      <c r="AR1" s="805"/>
      <c r="AS1" s="805"/>
      <c r="AT1" s="805"/>
      <c r="AU1" s="805"/>
      <c r="AV1" s="805"/>
      <c r="AW1" s="805"/>
      <c r="AX1" s="805"/>
      <c r="AY1" s="805"/>
      <c r="AZ1" s="805"/>
      <c r="BA1" s="805"/>
      <c r="BB1" s="805"/>
      <c r="BC1" s="805"/>
      <c r="BD1" s="805"/>
      <c r="BE1" s="805"/>
      <c r="BF1" s="805"/>
      <c r="BG1" s="805"/>
      <c r="BH1" s="805"/>
      <c r="BI1" s="805"/>
      <c r="BJ1" s="805"/>
      <c r="BK1" s="805"/>
      <c r="BL1" s="805"/>
      <c r="BM1" s="805"/>
      <c r="BN1" s="806"/>
      <c r="BP1" s="5" t="s">
        <v>9</v>
      </c>
      <c r="BQ1" s="5" t="s">
        <v>10</v>
      </c>
      <c r="BR1" s="4"/>
      <c r="BT1" s="4"/>
      <c r="BU1" s="4"/>
      <c r="BV1" s="4"/>
      <c r="BW1" s="802" t="s">
        <v>11</v>
      </c>
      <c r="BX1" s="807"/>
      <c r="BY1" s="807"/>
      <c r="BZ1" s="807"/>
      <c r="CA1" s="803"/>
      <c r="CB1" s="808"/>
      <c r="CC1" s="808"/>
      <c r="CD1" s="808"/>
      <c r="CE1" s="802" t="s">
        <v>12</v>
      </c>
      <c r="CF1" s="807"/>
      <c r="CG1" s="807"/>
      <c r="CH1" s="803"/>
      <c r="CI1" s="6"/>
      <c r="CJ1" s="804" t="s">
        <v>13</v>
      </c>
      <c r="CK1" s="805"/>
      <c r="CL1" s="805"/>
      <c r="CM1" s="805"/>
      <c r="CN1" s="805"/>
      <c r="CO1" s="805"/>
      <c r="CP1" s="805"/>
      <c r="CQ1" s="805"/>
      <c r="CR1" s="805"/>
      <c r="CS1" s="805"/>
      <c r="CT1" s="805"/>
      <c r="CU1" s="805"/>
      <c r="CV1" s="805"/>
      <c r="CW1" s="805"/>
      <c r="CX1" s="805"/>
      <c r="CY1" s="805"/>
      <c r="CZ1" s="806"/>
      <c r="DB1" s="7"/>
      <c r="DC1" s="7"/>
      <c r="DD1" s="4"/>
      <c r="DE1" s="7"/>
      <c r="DF1" s="7"/>
      <c r="DG1" s="7"/>
      <c r="DH1" s="4"/>
      <c r="DI1" s="802" t="s">
        <v>14</v>
      </c>
      <c r="DJ1" s="803"/>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80.099999999999994" customHeight="1">
      <c r="A3" s="48">
        <v>1</v>
      </c>
      <c r="B3" s="49">
        <v>202609</v>
      </c>
      <c r="C3" s="50" t="s">
        <v>1488</v>
      </c>
      <c r="D3" s="50" t="s">
        <v>133</v>
      </c>
      <c r="E3" s="51">
        <v>5994</v>
      </c>
      <c r="F3" s="52" t="s">
        <v>134</v>
      </c>
      <c r="G3" s="53" t="s">
        <v>1489</v>
      </c>
      <c r="H3" s="52" t="s">
        <v>136</v>
      </c>
      <c r="I3" s="70" t="s">
        <v>1490</v>
      </c>
      <c r="J3" s="60" t="s">
        <v>1491</v>
      </c>
      <c r="K3" s="56" t="s">
        <v>1492</v>
      </c>
      <c r="L3" s="55"/>
      <c r="M3" s="56" t="s">
        <v>1493</v>
      </c>
      <c r="N3" s="57" t="s">
        <v>1494</v>
      </c>
      <c r="O3" s="162" t="s">
        <v>142</v>
      </c>
      <c r="P3" s="59" t="s">
        <v>146</v>
      </c>
      <c r="Q3" s="60" t="s">
        <v>1495</v>
      </c>
      <c r="R3" s="61" t="s">
        <v>1496</v>
      </c>
      <c r="S3" s="55">
        <v>0</v>
      </c>
      <c r="T3" s="55">
        <v>20</v>
      </c>
      <c r="U3" s="55">
        <v>0</v>
      </c>
      <c r="V3" s="55">
        <v>0</v>
      </c>
      <c r="W3" s="55">
        <v>0</v>
      </c>
      <c r="X3" s="55">
        <v>0</v>
      </c>
      <c r="Y3" s="55">
        <v>80</v>
      </c>
      <c r="Z3" s="55">
        <v>0</v>
      </c>
      <c r="AA3" s="55">
        <v>0</v>
      </c>
      <c r="AB3" s="53">
        <v>100</v>
      </c>
      <c r="AC3" s="52" t="s">
        <v>244</v>
      </c>
      <c r="AD3" s="55" t="s">
        <v>190</v>
      </c>
      <c r="AE3" s="55" t="s">
        <v>146</v>
      </c>
      <c r="AF3" s="55" t="s">
        <v>142</v>
      </c>
      <c r="AG3" s="55" t="s">
        <v>142</v>
      </c>
      <c r="AH3" s="55">
        <v>1</v>
      </c>
      <c r="AI3" s="55">
        <v>20</v>
      </c>
      <c r="AJ3" s="62">
        <v>20</v>
      </c>
      <c r="AK3" s="431">
        <v>46269</v>
      </c>
      <c r="AL3" s="64" t="str">
        <f>TEXT(Sheet_1_Table_1_136[[#This Row],[Lesson 1 
Date 
(DD-MMM-YYYY)]], "ddd")</f>
        <v>Fri</v>
      </c>
      <c r="AM3" s="65">
        <v>0.66666666666666663</v>
      </c>
      <c r="AN3" s="66">
        <v>0.70833333333333337</v>
      </c>
      <c r="AO3" s="67" t="s">
        <v>1497</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1498</v>
      </c>
      <c r="BP3" s="69" t="s">
        <v>354</v>
      </c>
      <c r="BQ3" s="55" t="s">
        <v>409</v>
      </c>
      <c r="BR3" s="57" t="s">
        <v>1499</v>
      </c>
      <c r="BS3" s="52"/>
      <c r="BT3" s="56"/>
      <c r="BU3" s="56"/>
      <c r="BV3" s="70"/>
      <c r="BW3" s="60"/>
      <c r="BX3" s="71"/>
      <c r="BY3" s="56"/>
      <c r="BZ3" s="56"/>
      <c r="CA3" s="56"/>
      <c r="CB3" s="72"/>
      <c r="CC3" s="72"/>
      <c r="CD3" s="71"/>
      <c r="CE3" s="60" t="s">
        <v>1500</v>
      </c>
      <c r="CF3" s="71" t="s">
        <v>1501</v>
      </c>
      <c r="CG3" s="56" t="s">
        <v>1502</v>
      </c>
      <c r="CH3" s="57" t="s">
        <v>1503</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1504</v>
      </c>
      <c r="D4" s="50" t="s">
        <v>133</v>
      </c>
      <c r="E4" s="51">
        <v>5996</v>
      </c>
      <c r="F4" s="52" t="s">
        <v>134</v>
      </c>
      <c r="G4" s="53" t="s">
        <v>1489</v>
      </c>
      <c r="H4" s="52"/>
      <c r="I4" s="70"/>
      <c r="J4" s="60"/>
      <c r="K4" s="56" t="s">
        <v>1505</v>
      </c>
      <c r="L4" s="55"/>
      <c r="M4" s="56" t="s">
        <v>1506</v>
      </c>
      <c r="N4" s="57" t="s">
        <v>1507</v>
      </c>
      <c r="O4" s="181" t="s">
        <v>142</v>
      </c>
      <c r="P4" s="59" t="s">
        <v>146</v>
      </c>
      <c r="Q4" s="60" t="s">
        <v>1495</v>
      </c>
      <c r="R4" s="61" t="s">
        <v>1496</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791</v>
      </c>
      <c r="AP4" s="68">
        <v>46275</v>
      </c>
      <c r="AQ4" s="64">
        <v>5</v>
      </c>
      <c r="AR4" s="65">
        <v>0.77083333333333337</v>
      </c>
      <c r="AS4" s="66">
        <v>0.83333333333333337</v>
      </c>
      <c r="AT4" s="66" t="s">
        <v>791</v>
      </c>
      <c r="AU4" s="63">
        <v>46280</v>
      </c>
      <c r="AV4" s="64">
        <v>3</v>
      </c>
      <c r="AW4" s="65">
        <v>0.77083333333333337</v>
      </c>
      <c r="AX4" s="66">
        <v>0.83333333333333337</v>
      </c>
      <c r="AY4" s="67" t="s">
        <v>1508</v>
      </c>
      <c r="AZ4" s="68">
        <v>46282</v>
      </c>
      <c r="BA4" s="64">
        <v>5</v>
      </c>
      <c r="BB4" s="65">
        <v>0.77083333333333337</v>
      </c>
      <c r="BC4" s="66">
        <v>0.83333333333333337</v>
      </c>
      <c r="BD4" s="66" t="s">
        <v>791</v>
      </c>
      <c r="BE4" s="63">
        <v>46287</v>
      </c>
      <c r="BF4" s="64">
        <v>3</v>
      </c>
      <c r="BG4" s="65">
        <v>0.77083333333333337</v>
      </c>
      <c r="BH4" s="66">
        <v>0.83333333333333337</v>
      </c>
      <c r="BI4" s="67" t="s">
        <v>791</v>
      </c>
      <c r="BJ4" s="68">
        <v>46289</v>
      </c>
      <c r="BK4" s="64">
        <v>5</v>
      </c>
      <c r="BL4" s="65">
        <v>0.77083333333333337</v>
      </c>
      <c r="BM4" s="66">
        <v>0.83333333333333337</v>
      </c>
      <c r="BN4" s="66" t="s">
        <v>791</v>
      </c>
      <c r="BO4" s="54" t="s">
        <v>291</v>
      </c>
      <c r="BP4" s="69" t="s">
        <v>1509</v>
      </c>
      <c r="BQ4" s="55" t="s">
        <v>1510</v>
      </c>
      <c r="BR4" s="57" t="s">
        <v>1511</v>
      </c>
      <c r="BS4" s="52"/>
      <c r="BT4" s="56"/>
      <c r="BU4" s="56"/>
      <c r="BV4" s="70"/>
      <c r="BW4" s="60"/>
      <c r="BX4" s="71"/>
      <c r="BY4" s="56"/>
      <c r="BZ4" s="56"/>
      <c r="CA4" s="56"/>
      <c r="CB4" s="72"/>
      <c r="CC4" s="72"/>
      <c r="CD4" s="71"/>
      <c r="CE4" s="60" t="s">
        <v>1512</v>
      </c>
      <c r="CF4" s="71" t="s">
        <v>1513</v>
      </c>
      <c r="CG4" s="56" t="s">
        <v>1502</v>
      </c>
      <c r="CH4" s="57" t="s">
        <v>1503</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1514</v>
      </c>
      <c r="D5" s="50" t="s">
        <v>133</v>
      </c>
      <c r="E5" s="51">
        <v>5997</v>
      </c>
      <c r="F5" s="52" t="s">
        <v>134</v>
      </c>
      <c r="G5" s="53" t="s">
        <v>1489</v>
      </c>
      <c r="H5" s="52" t="s">
        <v>136</v>
      </c>
      <c r="I5" s="70" t="s">
        <v>1490</v>
      </c>
      <c r="J5" s="60" t="s">
        <v>1515</v>
      </c>
      <c r="K5" s="56" t="s">
        <v>1516</v>
      </c>
      <c r="L5" s="55"/>
      <c r="M5" s="56" t="s">
        <v>1517</v>
      </c>
      <c r="N5" s="57" t="s">
        <v>1518</v>
      </c>
      <c r="O5" s="181" t="s">
        <v>142</v>
      </c>
      <c r="P5" s="59" t="s">
        <v>146</v>
      </c>
      <c r="Q5" s="60" t="s">
        <v>1495</v>
      </c>
      <c r="R5" s="77" t="s">
        <v>1496</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1519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1520</v>
      </c>
      <c r="BQ5" s="55" t="s">
        <v>1521</v>
      </c>
      <c r="BR5" s="57" t="s">
        <v>1522</v>
      </c>
      <c r="BS5" s="52"/>
      <c r="BT5" s="56"/>
      <c r="BU5" s="56"/>
      <c r="BV5" s="70"/>
      <c r="BW5" s="60"/>
      <c r="BX5" s="71"/>
      <c r="BY5" s="56"/>
      <c r="BZ5" s="56"/>
      <c r="CA5" s="56"/>
      <c r="CB5" s="72"/>
      <c r="CC5" s="72"/>
      <c r="CD5" s="71"/>
      <c r="CE5" s="60" t="s">
        <v>1500</v>
      </c>
      <c r="CF5" s="71" t="s">
        <v>1501</v>
      </c>
      <c r="CG5" s="56" t="s">
        <v>1502</v>
      </c>
      <c r="CH5" s="57" t="s">
        <v>1503</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1523</v>
      </c>
      <c r="D6" s="50" t="s">
        <v>133</v>
      </c>
      <c r="E6" s="51">
        <v>5999</v>
      </c>
      <c r="F6" s="52" t="s">
        <v>134</v>
      </c>
      <c r="G6" s="53" t="s">
        <v>1489</v>
      </c>
      <c r="H6" s="52" t="s">
        <v>136</v>
      </c>
      <c r="I6" s="70" t="s">
        <v>1490</v>
      </c>
      <c r="J6" s="60"/>
      <c r="K6" s="56" t="s">
        <v>1524</v>
      </c>
      <c r="L6" s="55"/>
      <c r="M6" s="56" t="s">
        <v>1525</v>
      </c>
      <c r="N6" s="57" t="s">
        <v>1526</v>
      </c>
      <c r="O6" s="181" t="s">
        <v>142</v>
      </c>
      <c r="P6" s="59" t="s">
        <v>146</v>
      </c>
      <c r="Q6" s="60" t="s">
        <v>1495</v>
      </c>
      <c r="R6" s="77" t="s">
        <v>1496</v>
      </c>
      <c r="S6" s="55">
        <v>0</v>
      </c>
      <c r="T6" s="55">
        <v>0</v>
      </c>
      <c r="U6" s="55">
        <v>0</v>
      </c>
      <c r="V6" s="55">
        <v>0</v>
      </c>
      <c r="W6" s="55">
        <v>70</v>
      </c>
      <c r="X6" s="55">
        <v>30</v>
      </c>
      <c r="Y6" s="55">
        <v>0</v>
      </c>
      <c r="Z6" s="55">
        <v>0</v>
      </c>
      <c r="AA6" s="55">
        <v>0</v>
      </c>
      <c r="AB6" s="53">
        <v>100</v>
      </c>
      <c r="AC6" s="52" t="s">
        <v>144</v>
      </c>
      <c r="AD6" s="55" t="s">
        <v>353</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291</v>
      </c>
      <c r="BP6" s="69" t="s">
        <v>1509</v>
      </c>
      <c r="BQ6" s="55" t="s">
        <v>1510</v>
      </c>
      <c r="BR6" s="57" t="s">
        <v>1511</v>
      </c>
      <c r="BS6" s="52"/>
      <c r="BT6" s="56"/>
      <c r="BU6" s="56"/>
      <c r="BV6" s="70"/>
      <c r="BW6" s="60"/>
      <c r="BX6" s="71"/>
      <c r="BY6" s="56"/>
      <c r="BZ6" s="56"/>
      <c r="CA6" s="56"/>
      <c r="CB6" s="72" t="s">
        <v>1527</v>
      </c>
      <c r="CC6" s="72" t="s">
        <v>1528</v>
      </c>
      <c r="CD6" s="71">
        <v>65409718</v>
      </c>
      <c r="CE6" s="60" t="s">
        <v>1512</v>
      </c>
      <c r="CF6" s="71" t="s">
        <v>1513</v>
      </c>
      <c r="CG6" s="56" t="s">
        <v>1502</v>
      </c>
      <c r="CH6" s="57" t="s">
        <v>1503</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1529</v>
      </c>
      <c r="D7" s="50" t="s">
        <v>250</v>
      </c>
      <c r="E7" s="51">
        <v>6001</v>
      </c>
      <c r="F7" s="52" t="s">
        <v>134</v>
      </c>
      <c r="G7" s="53" t="s">
        <v>1489</v>
      </c>
      <c r="H7" s="52"/>
      <c r="I7" s="154" t="s">
        <v>1530</v>
      </c>
      <c r="J7" s="60" t="s">
        <v>1531</v>
      </c>
      <c r="K7" s="56" t="s">
        <v>1532</v>
      </c>
      <c r="L7" s="55"/>
      <c r="M7" s="56" t="s">
        <v>1533</v>
      </c>
      <c r="N7" s="57" t="s">
        <v>1534</v>
      </c>
      <c r="O7" s="78" t="s">
        <v>146</v>
      </c>
      <c r="P7" s="59" t="s">
        <v>146</v>
      </c>
      <c r="Q7" s="60" t="s">
        <v>1495</v>
      </c>
      <c r="R7" s="77" t="s">
        <v>1496</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791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792</v>
      </c>
      <c r="BQ7" s="55" t="s">
        <v>409</v>
      </c>
      <c r="BR7" s="57" t="s">
        <v>1535</v>
      </c>
      <c r="BS7" s="52"/>
      <c r="BT7" s="56"/>
      <c r="BU7" s="56"/>
      <c r="BV7" s="70"/>
      <c r="BW7" s="60"/>
      <c r="BX7" s="71"/>
      <c r="BY7" s="218"/>
      <c r="BZ7" s="56"/>
      <c r="CA7" s="56"/>
      <c r="CB7" s="72"/>
      <c r="CC7" s="72"/>
      <c r="CD7" s="71"/>
      <c r="CE7" s="60" t="s">
        <v>1536</v>
      </c>
      <c r="CF7" s="71" t="s">
        <v>1537</v>
      </c>
      <c r="CG7" s="56" t="s">
        <v>1538</v>
      </c>
      <c r="CH7" s="57" t="s">
        <v>1503</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1539</v>
      </c>
      <c r="D8" s="50" t="s">
        <v>250</v>
      </c>
      <c r="E8" s="51">
        <v>6002</v>
      </c>
      <c r="F8" s="52" t="s">
        <v>134</v>
      </c>
      <c r="G8" s="53" t="s">
        <v>1489</v>
      </c>
      <c r="H8" s="52"/>
      <c r="I8" s="154" t="s">
        <v>1530</v>
      </c>
      <c r="J8" s="60" t="s">
        <v>1540</v>
      </c>
      <c r="K8" s="56" t="s">
        <v>1541</v>
      </c>
      <c r="L8" s="55"/>
      <c r="M8" s="56" t="s">
        <v>1542</v>
      </c>
      <c r="N8" s="57" t="s">
        <v>1543</v>
      </c>
      <c r="O8" s="78" t="s">
        <v>146</v>
      </c>
      <c r="P8" s="59" t="s">
        <v>146</v>
      </c>
      <c r="Q8" s="60" t="s">
        <v>1495</v>
      </c>
      <c r="R8" s="61" t="s">
        <v>1496</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791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1544</v>
      </c>
      <c r="BS8" s="52"/>
      <c r="BT8" s="56"/>
      <c r="BU8" s="56"/>
      <c r="BV8" s="70"/>
      <c r="BW8" s="60"/>
      <c r="BX8" s="71"/>
      <c r="BY8" s="56"/>
      <c r="BZ8" s="56"/>
      <c r="CA8" s="56"/>
      <c r="CB8" s="72"/>
      <c r="CC8" s="72"/>
      <c r="CD8" s="71"/>
      <c r="CE8" s="60" t="s">
        <v>1536</v>
      </c>
      <c r="CF8" s="71" t="s">
        <v>1537</v>
      </c>
      <c r="CG8" s="56" t="s">
        <v>1538</v>
      </c>
      <c r="CH8" s="57" t="s">
        <v>1503</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1545</v>
      </c>
      <c r="D9" s="79" t="s">
        <v>174</v>
      </c>
      <c r="E9" s="432">
        <v>6004</v>
      </c>
      <c r="F9" s="80" t="s">
        <v>134</v>
      </c>
      <c r="G9" s="81" t="s">
        <v>1489</v>
      </c>
      <c r="H9" s="80"/>
      <c r="I9" s="433" t="s">
        <v>1530</v>
      </c>
      <c r="J9" s="86" t="s">
        <v>1546</v>
      </c>
      <c r="K9" s="434" t="s">
        <v>1547</v>
      </c>
      <c r="L9" s="83"/>
      <c r="M9" s="434" t="s">
        <v>1548</v>
      </c>
      <c r="N9" s="84" t="s">
        <v>1549</v>
      </c>
      <c r="O9" s="435" t="s">
        <v>146</v>
      </c>
      <c r="P9" s="85" t="s">
        <v>146</v>
      </c>
      <c r="Q9" s="86" t="s">
        <v>1495</v>
      </c>
      <c r="R9" s="436" t="s">
        <v>1496</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37">
        <v>80</v>
      </c>
      <c r="AK9" s="438">
        <v>46303</v>
      </c>
      <c r="AL9" s="64" t="str">
        <f>TEXT(Sheet_1_Table_1_136[[#This Row],[Lesson 1 
Date 
(DD-MMM-YYYY)]], "ddd")</f>
        <v>Thu</v>
      </c>
      <c r="AM9" s="439">
        <v>0.75</v>
      </c>
      <c r="AN9" s="440">
        <v>0.83333333333333337</v>
      </c>
      <c r="AO9" s="441" t="s">
        <v>791</v>
      </c>
      <c r="AP9" s="442"/>
      <c r="AQ9" s="443">
        <v>7</v>
      </c>
      <c r="AR9" s="439"/>
      <c r="AS9" s="440"/>
      <c r="AT9" s="440"/>
      <c r="AU9" s="438"/>
      <c r="AV9" s="443">
        <v>7</v>
      </c>
      <c r="AW9" s="439"/>
      <c r="AX9" s="440"/>
      <c r="AY9" s="441"/>
      <c r="AZ9" s="442"/>
      <c r="BA9" s="443">
        <v>7</v>
      </c>
      <c r="BB9" s="439"/>
      <c r="BC9" s="440"/>
      <c r="BD9" s="440"/>
      <c r="BE9" s="438"/>
      <c r="BF9" s="443">
        <v>7</v>
      </c>
      <c r="BG9" s="439"/>
      <c r="BH9" s="440"/>
      <c r="BI9" s="441"/>
      <c r="BJ9" s="442"/>
      <c r="BK9" s="443">
        <v>7</v>
      </c>
      <c r="BL9" s="439"/>
      <c r="BM9" s="440"/>
      <c r="BN9" s="440"/>
      <c r="BO9" s="82" t="s">
        <v>163</v>
      </c>
      <c r="BP9" s="444" t="s">
        <v>1550</v>
      </c>
      <c r="BQ9" s="83" t="s">
        <v>1551</v>
      </c>
      <c r="BR9" s="84" t="s">
        <v>1552</v>
      </c>
      <c r="BS9" s="80" t="s">
        <v>291</v>
      </c>
      <c r="BT9" s="434" t="s">
        <v>1553</v>
      </c>
      <c r="BU9" s="434" t="s">
        <v>1554</v>
      </c>
      <c r="BV9" s="300" t="s">
        <v>1555</v>
      </c>
      <c r="BW9" s="86"/>
      <c r="BX9" s="445"/>
      <c r="BY9" s="434"/>
      <c r="BZ9" s="434"/>
      <c r="CA9" s="434"/>
      <c r="CB9" s="446"/>
      <c r="CC9" s="446"/>
      <c r="CD9" s="445"/>
      <c r="CE9" s="86" t="s">
        <v>1536</v>
      </c>
      <c r="CF9" s="445" t="s">
        <v>1537</v>
      </c>
      <c r="CG9" s="434" t="s">
        <v>1538</v>
      </c>
      <c r="CH9" s="84" t="s">
        <v>1503</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1556</v>
      </c>
      <c r="D10" s="50" t="s">
        <v>174</v>
      </c>
      <c r="E10" s="51">
        <v>6007</v>
      </c>
      <c r="F10" s="52" t="s">
        <v>134</v>
      </c>
      <c r="G10" s="53" t="s">
        <v>1489</v>
      </c>
      <c r="H10" s="52"/>
      <c r="I10" s="154" t="s">
        <v>1530</v>
      </c>
      <c r="J10" s="60" t="s">
        <v>1557</v>
      </c>
      <c r="K10" s="56" t="s">
        <v>1558</v>
      </c>
      <c r="L10" s="55"/>
      <c r="M10" s="56" t="s">
        <v>1559</v>
      </c>
      <c r="N10" s="57" t="s">
        <v>1560</v>
      </c>
      <c r="O10" s="78" t="s">
        <v>146</v>
      </c>
      <c r="P10" s="59" t="s">
        <v>146</v>
      </c>
      <c r="Q10" s="60" t="s">
        <v>1495</v>
      </c>
      <c r="R10" s="61" t="s">
        <v>1496</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791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1544</v>
      </c>
      <c r="BS10" s="52"/>
      <c r="BT10" s="56"/>
      <c r="BU10" s="56"/>
      <c r="BV10" s="70"/>
      <c r="BW10" s="60"/>
      <c r="BX10" s="71"/>
      <c r="BY10" s="56"/>
      <c r="BZ10" s="56"/>
      <c r="CA10" s="56"/>
      <c r="CB10" s="72"/>
      <c r="CC10" s="72"/>
      <c r="CD10" s="71"/>
      <c r="CE10" s="60" t="s">
        <v>1536</v>
      </c>
      <c r="CF10" s="71" t="s">
        <v>1537</v>
      </c>
      <c r="CG10" s="56" t="s">
        <v>1538</v>
      </c>
      <c r="CH10" s="57" t="s">
        <v>1503</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1561</v>
      </c>
      <c r="D11" s="50" t="s">
        <v>174</v>
      </c>
      <c r="E11" s="51">
        <v>6008</v>
      </c>
      <c r="F11" s="52" t="s">
        <v>134</v>
      </c>
      <c r="G11" s="53" t="s">
        <v>1489</v>
      </c>
      <c r="H11" s="52" t="s">
        <v>1562</v>
      </c>
      <c r="I11" s="70" t="s">
        <v>1563</v>
      </c>
      <c r="J11" s="60" t="s">
        <v>1564</v>
      </c>
      <c r="K11" s="56" t="s">
        <v>1565</v>
      </c>
      <c r="L11" s="55"/>
      <c r="M11" s="56" t="s">
        <v>1566</v>
      </c>
      <c r="N11" s="57" t="s">
        <v>1567</v>
      </c>
      <c r="O11" s="114" t="s">
        <v>146</v>
      </c>
      <c r="P11" s="96" t="s">
        <v>146</v>
      </c>
      <c r="Q11" s="60" t="s">
        <v>1495</v>
      </c>
      <c r="R11" s="77" t="s">
        <v>1496</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1568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1569</v>
      </c>
      <c r="BS11" s="54"/>
      <c r="BT11" s="56"/>
      <c r="BU11" s="56"/>
      <c r="BV11" s="57"/>
      <c r="BW11" s="60"/>
      <c r="BX11" s="195"/>
      <c r="BY11" s="56"/>
      <c r="BZ11" s="56"/>
      <c r="CA11" s="56"/>
      <c r="CB11" s="72"/>
      <c r="CC11" s="72"/>
      <c r="CD11" s="72"/>
      <c r="CE11" s="60" t="s">
        <v>1512</v>
      </c>
      <c r="CF11" s="72" t="s">
        <v>1513</v>
      </c>
      <c r="CG11" s="56" t="s">
        <v>1502</v>
      </c>
      <c r="CH11" s="57" t="s">
        <v>1503</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1570</v>
      </c>
      <c r="D12" s="50" t="s">
        <v>174</v>
      </c>
      <c r="E12" s="51">
        <v>6009</v>
      </c>
      <c r="F12" s="52" t="s">
        <v>134</v>
      </c>
      <c r="G12" s="53" t="s">
        <v>1489</v>
      </c>
      <c r="H12" s="52" t="s">
        <v>1562</v>
      </c>
      <c r="I12" s="70" t="s">
        <v>1563</v>
      </c>
      <c r="J12" s="60"/>
      <c r="K12" s="56" t="s">
        <v>1571</v>
      </c>
      <c r="L12" s="55"/>
      <c r="M12" s="56" t="s">
        <v>1572</v>
      </c>
      <c r="N12" s="57" t="s">
        <v>1573</v>
      </c>
      <c r="O12" s="114" t="s">
        <v>146</v>
      </c>
      <c r="P12" s="96" t="s">
        <v>146</v>
      </c>
      <c r="Q12" s="60" t="s">
        <v>1495</v>
      </c>
      <c r="R12" s="61" t="s">
        <v>1496</v>
      </c>
      <c r="S12" s="55">
        <v>0</v>
      </c>
      <c r="T12" s="55">
        <v>0</v>
      </c>
      <c r="U12" s="55">
        <v>50</v>
      </c>
      <c r="V12" s="55">
        <v>20</v>
      </c>
      <c r="W12" s="55">
        <v>0</v>
      </c>
      <c r="X12" s="55">
        <v>0</v>
      </c>
      <c r="Y12" s="55">
        <v>30</v>
      </c>
      <c r="Z12" s="55">
        <v>0</v>
      </c>
      <c r="AA12" s="55">
        <v>0</v>
      </c>
      <c r="AB12" s="53">
        <v>100</v>
      </c>
      <c r="AC12" s="97" t="s">
        <v>244</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1574</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1498</v>
      </c>
      <c r="BP12" s="69" t="s">
        <v>1575</v>
      </c>
      <c r="BQ12" s="55" t="s">
        <v>1133</v>
      </c>
      <c r="BR12" s="57" t="s">
        <v>1576</v>
      </c>
      <c r="BS12" s="54"/>
      <c r="BT12" s="56"/>
      <c r="BU12" s="56"/>
      <c r="BV12" s="57"/>
      <c r="BW12" s="60"/>
      <c r="BX12" s="195"/>
      <c r="BY12" s="447">
        <v>0.40625</v>
      </c>
      <c r="BZ12" s="56" t="s">
        <v>1577</v>
      </c>
      <c r="CA12" s="56"/>
      <c r="CB12" s="72"/>
      <c r="CC12" s="72"/>
      <c r="CD12" s="72"/>
      <c r="CE12" s="60" t="s">
        <v>1512</v>
      </c>
      <c r="CF12" s="72" t="s">
        <v>1513</v>
      </c>
      <c r="CG12" s="56" t="s">
        <v>1502</v>
      </c>
      <c r="CH12" s="57" t="s">
        <v>1503</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1578</v>
      </c>
      <c r="D13" s="50" t="s">
        <v>174</v>
      </c>
      <c r="E13" s="51">
        <v>6010</v>
      </c>
      <c r="F13" s="52" t="s">
        <v>134</v>
      </c>
      <c r="G13" s="53" t="s">
        <v>1489</v>
      </c>
      <c r="H13" s="52" t="s">
        <v>1562</v>
      </c>
      <c r="I13" s="70" t="s">
        <v>1563</v>
      </c>
      <c r="J13" s="60"/>
      <c r="K13" s="56" t="s">
        <v>1579</v>
      </c>
      <c r="L13" s="55"/>
      <c r="M13" s="56" t="s">
        <v>1580</v>
      </c>
      <c r="N13" s="57" t="s">
        <v>1573</v>
      </c>
      <c r="O13" s="114" t="s">
        <v>146</v>
      </c>
      <c r="P13" s="96" t="s">
        <v>146</v>
      </c>
      <c r="Q13" s="60" t="s">
        <v>1495</v>
      </c>
      <c r="R13" s="77" t="s">
        <v>1496</v>
      </c>
      <c r="S13" s="55">
        <v>0</v>
      </c>
      <c r="T13" s="55">
        <v>0</v>
      </c>
      <c r="U13" s="55">
        <v>50</v>
      </c>
      <c r="V13" s="55">
        <v>20</v>
      </c>
      <c r="W13" s="55">
        <v>0</v>
      </c>
      <c r="X13" s="55">
        <v>0</v>
      </c>
      <c r="Y13" s="55">
        <v>30</v>
      </c>
      <c r="Z13" s="55">
        <v>0</v>
      </c>
      <c r="AA13" s="55">
        <v>0</v>
      </c>
      <c r="AB13" s="53">
        <v>100</v>
      </c>
      <c r="AC13" s="97" t="s">
        <v>244</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1574</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1498</v>
      </c>
      <c r="BP13" s="69" t="s">
        <v>1575</v>
      </c>
      <c r="BQ13" s="55" t="s">
        <v>1133</v>
      </c>
      <c r="BR13" s="57" t="s">
        <v>1576</v>
      </c>
      <c r="BS13" s="54"/>
      <c r="BT13" s="56"/>
      <c r="BU13" s="56"/>
      <c r="BV13" s="57"/>
      <c r="BW13" s="60"/>
      <c r="BX13" s="195"/>
      <c r="BY13" s="447">
        <v>0.40625</v>
      </c>
      <c r="BZ13" s="56" t="s">
        <v>1577</v>
      </c>
      <c r="CA13" s="56"/>
      <c r="CB13" s="72"/>
      <c r="CC13" s="72"/>
      <c r="CD13" s="72"/>
      <c r="CE13" s="60" t="s">
        <v>1512</v>
      </c>
      <c r="CF13" s="72" t="s">
        <v>1513</v>
      </c>
      <c r="CG13" s="56" t="s">
        <v>1502</v>
      </c>
      <c r="CH13" s="57" t="s">
        <v>1503</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1581</v>
      </c>
      <c r="D14" s="50" t="s">
        <v>174</v>
      </c>
      <c r="E14" s="51">
        <v>6014</v>
      </c>
      <c r="F14" s="52" t="s">
        <v>134</v>
      </c>
      <c r="G14" s="53" t="s">
        <v>1489</v>
      </c>
      <c r="H14" s="97"/>
      <c r="I14" s="136" t="s">
        <v>1530</v>
      </c>
      <c r="J14" s="60" t="s">
        <v>1582</v>
      </c>
      <c r="K14" s="56" t="s">
        <v>1583</v>
      </c>
      <c r="L14" s="55"/>
      <c r="M14" s="56" t="s">
        <v>1584</v>
      </c>
      <c r="N14" s="57" t="s">
        <v>1585</v>
      </c>
      <c r="O14" s="114" t="s">
        <v>146</v>
      </c>
      <c r="P14" s="96" t="s">
        <v>146</v>
      </c>
      <c r="Q14" s="60" t="s">
        <v>1495</v>
      </c>
      <c r="R14" s="61" t="s">
        <v>1496</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1586</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1544</v>
      </c>
      <c r="BS14" s="54"/>
      <c r="BT14" s="56"/>
      <c r="BU14" s="56"/>
      <c r="BV14" s="57"/>
      <c r="BW14" s="60"/>
      <c r="BX14" s="195"/>
      <c r="BY14" s="56"/>
      <c r="BZ14" s="56"/>
      <c r="CA14" s="56"/>
      <c r="CB14" s="72"/>
      <c r="CC14" s="72"/>
      <c r="CD14" s="72"/>
      <c r="CE14" s="60" t="s">
        <v>1536</v>
      </c>
      <c r="CF14" s="72" t="s">
        <v>1537</v>
      </c>
      <c r="CG14" s="56" t="s">
        <v>1538</v>
      </c>
      <c r="CH14" s="57" t="s">
        <v>1503</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1587</v>
      </c>
      <c r="D15" s="50" t="s">
        <v>204</v>
      </c>
      <c r="E15" s="51">
        <v>6011</v>
      </c>
      <c r="F15" s="52" t="s">
        <v>134</v>
      </c>
      <c r="G15" s="53" t="s">
        <v>1489</v>
      </c>
      <c r="H15" s="52" t="s">
        <v>1562</v>
      </c>
      <c r="I15" s="70" t="s">
        <v>1563</v>
      </c>
      <c r="J15" s="60" t="s">
        <v>1588</v>
      </c>
      <c r="K15" s="56" t="s">
        <v>1589</v>
      </c>
      <c r="L15" s="55"/>
      <c r="M15" s="56" t="s">
        <v>1590</v>
      </c>
      <c r="N15" s="57" t="s">
        <v>1591</v>
      </c>
      <c r="O15" s="114" t="s">
        <v>146</v>
      </c>
      <c r="P15" s="96" t="s">
        <v>146</v>
      </c>
      <c r="Q15" s="60" t="s">
        <v>1495</v>
      </c>
      <c r="R15" s="61" t="s">
        <v>1496</v>
      </c>
      <c r="S15" s="55">
        <v>0</v>
      </c>
      <c r="T15" s="55">
        <v>0</v>
      </c>
      <c r="U15" s="55">
        <v>0</v>
      </c>
      <c r="V15" s="55">
        <v>30</v>
      </c>
      <c r="W15" s="55">
        <v>0</v>
      </c>
      <c r="X15" s="55">
        <v>0</v>
      </c>
      <c r="Y15" s="55">
        <v>70</v>
      </c>
      <c r="Z15" s="55">
        <v>0</v>
      </c>
      <c r="AA15" s="55">
        <v>0</v>
      </c>
      <c r="AB15" s="53">
        <v>100</v>
      </c>
      <c r="AC15" s="97" t="s">
        <v>244</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1592</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291</v>
      </c>
      <c r="BP15" s="69" t="s">
        <v>1593</v>
      </c>
      <c r="BQ15" s="55" t="s">
        <v>1594</v>
      </c>
      <c r="BR15" s="57" t="s">
        <v>1595</v>
      </c>
      <c r="BS15" s="54"/>
      <c r="BT15" s="56"/>
      <c r="BU15" s="56"/>
      <c r="BV15" s="57"/>
      <c r="BW15" s="60"/>
      <c r="BX15" s="195"/>
      <c r="BY15" s="56"/>
      <c r="BZ15" s="56"/>
      <c r="CA15" s="56"/>
      <c r="CB15" s="72"/>
      <c r="CC15" s="72"/>
      <c r="CD15" s="72"/>
      <c r="CE15" s="60" t="s">
        <v>1512</v>
      </c>
      <c r="CF15" s="72" t="s">
        <v>1513</v>
      </c>
      <c r="CG15" s="56" t="s">
        <v>1502</v>
      </c>
      <c r="CH15" s="57" t="s">
        <v>1503</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1596</v>
      </c>
      <c r="D16" s="79" t="s">
        <v>204</v>
      </c>
      <c r="E16" s="432">
        <v>6017</v>
      </c>
      <c r="F16" s="80" t="s">
        <v>134</v>
      </c>
      <c r="G16" s="81" t="s">
        <v>1489</v>
      </c>
      <c r="H16" s="95" t="s">
        <v>1597</v>
      </c>
      <c r="I16" s="448" t="s">
        <v>1598</v>
      </c>
      <c r="J16" s="86" t="s">
        <v>1599</v>
      </c>
      <c r="K16" s="434" t="s">
        <v>1600</v>
      </c>
      <c r="L16" s="83"/>
      <c r="M16" s="434" t="s">
        <v>1601</v>
      </c>
      <c r="N16" s="84" t="s">
        <v>1602</v>
      </c>
      <c r="O16" s="449" t="s">
        <v>146</v>
      </c>
      <c r="P16" s="450" t="s">
        <v>146</v>
      </c>
      <c r="Q16" s="86" t="s">
        <v>1495</v>
      </c>
      <c r="R16" s="451" t="s">
        <v>1496</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37">
        <v>30</v>
      </c>
      <c r="AK16" s="438">
        <v>46344</v>
      </c>
      <c r="AL16" s="64" t="str">
        <f>TEXT(Sheet_1_Table_1_136[[#This Row],[Lesson 1 
Date 
(DD-MMM-YYYY)]], "ddd")</f>
        <v>Wed</v>
      </c>
      <c r="AM16" s="439">
        <v>0.72916666666666663</v>
      </c>
      <c r="AN16" s="440">
        <v>0.79166666666666663</v>
      </c>
      <c r="AO16" s="441" t="s">
        <v>147</v>
      </c>
      <c r="AP16" s="442"/>
      <c r="AQ16" s="443">
        <v>7</v>
      </c>
      <c r="AR16" s="439"/>
      <c r="AS16" s="440"/>
      <c r="AT16" s="452"/>
      <c r="AU16" s="438"/>
      <c r="AV16" s="443">
        <v>7</v>
      </c>
      <c r="AW16" s="439"/>
      <c r="AX16" s="440"/>
      <c r="AY16" s="452"/>
      <c r="AZ16" s="453"/>
      <c r="BA16" s="443">
        <v>7</v>
      </c>
      <c r="BB16" s="439"/>
      <c r="BC16" s="440"/>
      <c r="BD16" s="452"/>
      <c r="BE16" s="438"/>
      <c r="BF16" s="443">
        <v>7</v>
      </c>
      <c r="BG16" s="439"/>
      <c r="BH16" s="440"/>
      <c r="BI16" s="452"/>
      <c r="BJ16" s="453"/>
      <c r="BK16" s="443">
        <v>7</v>
      </c>
      <c r="BL16" s="439"/>
      <c r="BM16" s="440"/>
      <c r="BN16" s="454"/>
      <c r="BO16" s="82"/>
      <c r="BP16" s="444"/>
      <c r="BQ16" s="83"/>
      <c r="BR16" s="84" t="s">
        <v>1603</v>
      </c>
      <c r="BS16" s="82"/>
      <c r="BT16" s="434"/>
      <c r="BU16" s="434"/>
      <c r="BV16" s="84"/>
      <c r="BW16" s="86"/>
      <c r="BX16" s="455"/>
      <c r="BY16" s="434"/>
      <c r="BZ16" s="434"/>
      <c r="CA16" s="434"/>
      <c r="CB16" s="446"/>
      <c r="CC16" s="446"/>
      <c r="CD16" s="446"/>
      <c r="CE16" s="86" t="s">
        <v>1536</v>
      </c>
      <c r="CF16" s="446" t="s">
        <v>1537</v>
      </c>
      <c r="CG16" s="434" t="s">
        <v>1538</v>
      </c>
      <c r="CH16" s="84" t="s">
        <v>1503</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1604</v>
      </c>
      <c r="D17" s="79" t="s">
        <v>204</v>
      </c>
      <c r="E17" s="51">
        <v>6018</v>
      </c>
      <c r="F17" s="52" t="s">
        <v>134</v>
      </c>
      <c r="G17" s="53" t="s">
        <v>1489</v>
      </c>
      <c r="H17" s="97"/>
      <c r="I17" s="137" t="s">
        <v>1530</v>
      </c>
      <c r="J17" s="60" t="s">
        <v>1605</v>
      </c>
      <c r="K17" s="56" t="s">
        <v>1606</v>
      </c>
      <c r="L17" s="55"/>
      <c r="M17" s="56" t="s">
        <v>1607</v>
      </c>
      <c r="N17" s="57" t="s">
        <v>1608</v>
      </c>
      <c r="O17" s="114" t="s">
        <v>146</v>
      </c>
      <c r="P17" s="96" t="s">
        <v>146</v>
      </c>
      <c r="Q17" s="60" t="s">
        <v>1495</v>
      </c>
      <c r="R17" s="77" t="s">
        <v>1496</v>
      </c>
      <c r="S17" s="55">
        <v>20</v>
      </c>
      <c r="T17" s="55">
        <v>50</v>
      </c>
      <c r="U17" s="55">
        <v>0</v>
      </c>
      <c r="V17" s="55">
        <v>0</v>
      </c>
      <c r="W17" s="55">
        <v>0</v>
      </c>
      <c r="X17" s="55">
        <v>0</v>
      </c>
      <c r="Y17" s="55">
        <v>20</v>
      </c>
      <c r="Z17" s="55">
        <v>0</v>
      </c>
      <c r="AA17" s="55">
        <v>10</v>
      </c>
      <c r="AB17" s="53">
        <v>100</v>
      </c>
      <c r="AC17" s="97" t="s">
        <v>244</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1544</v>
      </c>
      <c r="BS17" s="54"/>
      <c r="BT17" s="56"/>
      <c r="BU17" s="56"/>
      <c r="BV17" s="57"/>
      <c r="BW17" s="60"/>
      <c r="BX17" s="195"/>
      <c r="BY17" s="56"/>
      <c r="BZ17" s="56"/>
      <c r="CA17" s="56"/>
      <c r="CB17" s="72"/>
      <c r="CC17" s="72"/>
      <c r="CD17" s="72"/>
      <c r="CE17" s="60" t="s">
        <v>1536</v>
      </c>
      <c r="CF17" s="72" t="s">
        <v>1537</v>
      </c>
      <c r="CG17" s="56" t="s">
        <v>1538</v>
      </c>
      <c r="CH17" s="57" t="s">
        <v>1503</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1" t="s">
        <v>1609</v>
      </c>
      <c r="D18" s="50" t="s">
        <v>133</v>
      </c>
      <c r="E18" s="51">
        <v>6023</v>
      </c>
      <c r="F18" s="52" t="s">
        <v>134</v>
      </c>
      <c r="G18" s="53" t="s">
        <v>1489</v>
      </c>
      <c r="H18" s="97" t="s">
        <v>1597</v>
      </c>
      <c r="I18" s="57" t="s">
        <v>1598</v>
      </c>
      <c r="J18" s="60" t="s">
        <v>1610</v>
      </c>
      <c r="K18" s="56" t="s">
        <v>1611</v>
      </c>
      <c r="L18" s="55"/>
      <c r="M18" s="56" t="s">
        <v>1612</v>
      </c>
      <c r="N18" s="57" t="s">
        <v>1613</v>
      </c>
      <c r="O18" s="456" t="s">
        <v>142</v>
      </c>
      <c r="P18" s="96" t="s">
        <v>146</v>
      </c>
      <c r="Q18" s="60" t="s">
        <v>1495</v>
      </c>
      <c r="R18" s="61" t="s">
        <v>1496</v>
      </c>
      <c r="S18" s="55">
        <v>0</v>
      </c>
      <c r="T18" s="55">
        <v>0</v>
      </c>
      <c r="U18" s="55">
        <v>0</v>
      </c>
      <c r="V18" s="55">
        <v>0</v>
      </c>
      <c r="W18" s="55">
        <v>0</v>
      </c>
      <c r="X18" s="55">
        <v>0</v>
      </c>
      <c r="Y18" s="55">
        <v>80</v>
      </c>
      <c r="Z18" s="55">
        <v>0</v>
      </c>
      <c r="AA18" s="55">
        <v>20</v>
      </c>
      <c r="AB18" s="53">
        <v>100</v>
      </c>
      <c r="AC18" s="97" t="s">
        <v>244</v>
      </c>
      <c r="AD18" s="55" t="s">
        <v>190</v>
      </c>
      <c r="AE18" s="55" t="s">
        <v>146</v>
      </c>
      <c r="AF18" s="55" t="s">
        <v>146</v>
      </c>
      <c r="AG18" s="55" t="s">
        <v>142</v>
      </c>
      <c r="AH18" s="55">
        <v>2</v>
      </c>
      <c r="AI18" s="55">
        <v>25</v>
      </c>
      <c r="AJ18" s="62">
        <v>50</v>
      </c>
      <c r="AK18" s="184" t="s">
        <v>630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1614</v>
      </c>
      <c r="BQ18" s="55"/>
      <c r="BR18" s="57"/>
      <c r="BS18" s="54"/>
      <c r="BT18" s="56"/>
      <c r="BU18" s="56"/>
      <c r="BV18" s="57"/>
      <c r="BW18" s="60"/>
      <c r="BX18" s="195"/>
      <c r="BY18" s="56"/>
      <c r="BZ18" s="56" t="s">
        <v>1577</v>
      </c>
      <c r="CA18" s="56"/>
      <c r="CB18" s="72"/>
      <c r="CC18" s="72"/>
      <c r="CD18" s="72"/>
      <c r="CE18" s="60" t="s">
        <v>1500</v>
      </c>
      <c r="CF18" s="72" t="s">
        <v>1501</v>
      </c>
      <c r="CG18" s="56" t="s">
        <v>1502</v>
      </c>
      <c r="CH18" s="57" t="s">
        <v>1503</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1615</v>
      </c>
      <c r="D19" s="50" t="s">
        <v>250</v>
      </c>
      <c r="E19" s="51">
        <v>5857</v>
      </c>
      <c r="F19" s="52" t="s">
        <v>1616</v>
      </c>
      <c r="G19" s="53" t="s">
        <v>1617</v>
      </c>
      <c r="H19" s="80" t="s">
        <v>1618</v>
      </c>
      <c r="I19" s="300" t="s">
        <v>1619</v>
      </c>
      <c r="J19" s="60" t="s">
        <v>1620</v>
      </c>
      <c r="K19" s="55" t="s">
        <v>1621</v>
      </c>
      <c r="L19" s="55"/>
      <c r="M19" s="56" t="s">
        <v>1622</v>
      </c>
      <c r="N19" s="57" t="s">
        <v>1623</v>
      </c>
      <c r="O19" s="58" t="s">
        <v>146</v>
      </c>
      <c r="P19" s="59" t="s">
        <v>146</v>
      </c>
      <c r="Q19" s="60" t="s">
        <v>1495</v>
      </c>
      <c r="R19" s="61" t="s">
        <v>1496</v>
      </c>
      <c r="S19" s="55">
        <v>0</v>
      </c>
      <c r="T19" s="55">
        <v>0</v>
      </c>
      <c r="U19" s="55">
        <v>100</v>
      </c>
      <c r="V19" s="55">
        <v>0</v>
      </c>
      <c r="W19" s="55">
        <v>0</v>
      </c>
      <c r="X19" s="55">
        <v>0</v>
      </c>
      <c r="Y19" s="55">
        <v>0</v>
      </c>
      <c r="Z19" s="55">
        <v>0</v>
      </c>
      <c r="AA19" s="55">
        <v>0</v>
      </c>
      <c r="AB19" s="53">
        <f>SUM([22]!Sheet_1_Table_1_13[[#This Row],[Leadership LS]:[Career Development  CR]])</f>
        <v>0</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1624</v>
      </c>
      <c r="AP19" s="68"/>
      <c r="AQ19" s="64">
        <f>WEEKDAY([22]!Sheet_1_Table_1_13[[#This Row],[Lesson 2
Date 
(DD-MMM-YYYY)]])</f>
        <v>7</v>
      </c>
      <c r="AR19" s="65"/>
      <c r="AS19" s="66"/>
      <c r="AT19" s="66"/>
      <c r="AU19" s="63"/>
      <c r="AV19" s="64">
        <f>WEEKDAY([22]!Sheet_1_Table_1_13[[#This Row],[Lesson 3
Date 
(DD-MMM-YYYY)]])</f>
        <v>7</v>
      </c>
      <c r="AW19" s="65"/>
      <c r="AX19" s="66"/>
      <c r="AY19" s="67"/>
      <c r="AZ19" s="68"/>
      <c r="BA19" s="64">
        <f>WEEKDAY([22]!Sheet_1_Table_1_13[[#This Row],[Lesson 4
Date 
(DD-MMM-YYYY)]])</f>
        <v>7</v>
      </c>
      <c r="BB19" s="65"/>
      <c r="BC19" s="66"/>
      <c r="BD19" s="66"/>
      <c r="BE19" s="63"/>
      <c r="BF19" s="64">
        <f>WEEKDAY([22]!Sheet_1_Table_1_13[[#This Row],[Lesson 5
Date 
(DD-MMM-YYYY)]])</f>
        <v>7</v>
      </c>
      <c r="BG19" s="65"/>
      <c r="BH19" s="66"/>
      <c r="BI19" s="67"/>
      <c r="BJ19" s="68"/>
      <c r="BK19" s="64">
        <f>WEEKDAY([22]!Sheet_1_Table_1_13[[#This Row],[Lesson 6
Date 
(DD-MMM-YYYY)]])</f>
        <v>7</v>
      </c>
      <c r="BL19" s="65"/>
      <c r="BM19" s="66"/>
      <c r="BN19" s="66"/>
      <c r="BO19" s="54" t="s">
        <v>291</v>
      </c>
      <c r="BP19" s="69" t="s">
        <v>1625</v>
      </c>
      <c r="BQ19" s="457" t="s">
        <v>1626</v>
      </c>
      <c r="BR19" s="458" t="s">
        <v>1627</v>
      </c>
      <c r="BS19" s="52"/>
      <c r="BT19" s="56"/>
      <c r="BU19" s="56"/>
      <c r="BV19" s="70"/>
      <c r="BW19" s="60"/>
      <c r="BX19" s="71"/>
      <c r="BY19" s="56" t="s">
        <v>184</v>
      </c>
      <c r="BZ19" s="56"/>
      <c r="CA19" s="56" t="s">
        <v>2231</v>
      </c>
      <c r="CB19" s="72"/>
      <c r="CC19" s="72"/>
      <c r="CD19" s="71"/>
      <c r="CE19" s="459" t="s">
        <v>1628</v>
      </c>
      <c r="CF19" s="164" t="s">
        <v>1629</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205" t="s">
        <v>1630</v>
      </c>
      <c r="D20" s="50" t="s">
        <v>250</v>
      </c>
      <c r="E20" s="206">
        <v>5854</v>
      </c>
      <c r="F20" s="52" t="s">
        <v>1616</v>
      </c>
      <c r="G20" s="53" t="s">
        <v>1617</v>
      </c>
      <c r="H20" s="80" t="s">
        <v>1618</v>
      </c>
      <c r="I20" s="300" t="s">
        <v>1619</v>
      </c>
      <c r="J20" s="222" t="s">
        <v>1631</v>
      </c>
      <c r="K20" s="55" t="s">
        <v>1632</v>
      </c>
      <c r="L20" s="55"/>
      <c r="M20" s="56" t="s">
        <v>1633</v>
      </c>
      <c r="N20" s="219" t="s">
        <v>1634</v>
      </c>
      <c r="O20" s="58" t="s">
        <v>146</v>
      </c>
      <c r="P20" s="460" t="s">
        <v>146</v>
      </c>
      <c r="Q20" s="222" t="s">
        <v>1495</v>
      </c>
      <c r="R20" s="77" t="s">
        <v>1496</v>
      </c>
      <c r="S20" s="55">
        <v>0</v>
      </c>
      <c r="T20" s="55">
        <v>0</v>
      </c>
      <c r="U20" s="55">
        <v>0</v>
      </c>
      <c r="V20" s="55">
        <v>0</v>
      </c>
      <c r="W20" s="55">
        <v>100</v>
      </c>
      <c r="X20" s="55">
        <v>0</v>
      </c>
      <c r="Y20" s="55">
        <v>0</v>
      </c>
      <c r="Z20" s="55">
        <v>0</v>
      </c>
      <c r="AA20" s="55">
        <v>0</v>
      </c>
      <c r="AB20" s="53">
        <v>100</v>
      </c>
      <c r="AC20" s="52" t="s">
        <v>199</v>
      </c>
      <c r="AD20" s="209" t="s">
        <v>190</v>
      </c>
      <c r="AE20" s="209" t="s">
        <v>142</v>
      </c>
      <c r="AF20" s="209" t="s">
        <v>146</v>
      </c>
      <c r="AG20" s="209" t="s">
        <v>146</v>
      </c>
      <c r="AH20" s="209">
        <v>1</v>
      </c>
      <c r="AI20" s="55">
        <v>20</v>
      </c>
      <c r="AJ20" s="62">
        <f>SUM(Sheet_1_Table_1_136[[#This Row],[ILP Units Per Session]]*Sheet_1_Table_1_136[[#This Row],[Quota]])</f>
        <v>20</v>
      </c>
      <c r="AK20" s="211">
        <v>46288</v>
      </c>
      <c r="AL20" s="64" t="str">
        <f>TEXT(Sheet_1_Table_1_136[[#This Row],[Lesson 1 
Date 
(DD-MMM-YYYY)]], "ddd")</f>
        <v>Wed</v>
      </c>
      <c r="AM20" s="212">
        <v>0.79166666666666663</v>
      </c>
      <c r="AN20" s="213">
        <v>0.83333333333333337</v>
      </c>
      <c r="AO20" s="67" t="s">
        <v>1624</v>
      </c>
      <c r="AP20" s="68"/>
      <c r="AQ20" s="64">
        <v>7</v>
      </c>
      <c r="AR20" s="65"/>
      <c r="AS20" s="66"/>
      <c r="AT20" s="66"/>
      <c r="AU20" s="211"/>
      <c r="AV20" s="165">
        <v>7</v>
      </c>
      <c r="AW20" s="212"/>
      <c r="AX20" s="213"/>
      <c r="AY20" s="215"/>
      <c r="AZ20" s="68"/>
      <c r="BA20" s="64">
        <v>7</v>
      </c>
      <c r="BB20" s="65"/>
      <c r="BC20" s="66"/>
      <c r="BD20" s="66"/>
      <c r="BE20" s="211"/>
      <c r="BF20" s="165">
        <v>7</v>
      </c>
      <c r="BG20" s="212"/>
      <c r="BH20" s="213"/>
      <c r="BI20" s="215"/>
      <c r="BJ20" s="68"/>
      <c r="BK20" s="165">
        <v>7</v>
      </c>
      <c r="BL20" s="212"/>
      <c r="BM20" s="213"/>
      <c r="BN20" s="213"/>
      <c r="BO20" s="216" t="s">
        <v>163</v>
      </c>
      <c r="BP20" s="217" t="s">
        <v>1635</v>
      </c>
      <c r="BQ20" s="209" t="s">
        <v>1636</v>
      </c>
      <c r="BR20" s="219" t="s">
        <v>1637</v>
      </c>
      <c r="BS20" s="52"/>
      <c r="BT20" s="217"/>
      <c r="BU20" s="209"/>
      <c r="BV20" s="70"/>
      <c r="BW20" s="60"/>
      <c r="BX20" s="71"/>
      <c r="BY20" s="218"/>
      <c r="BZ20" s="218"/>
      <c r="CA20" s="218" t="s">
        <v>1638</v>
      </c>
      <c r="CB20" s="220"/>
      <c r="CC20" s="220"/>
      <c r="CD20" s="221"/>
      <c r="CE20" s="222" t="s">
        <v>1639</v>
      </c>
      <c r="CF20" s="221" t="s">
        <v>1640</v>
      </c>
      <c r="CG20" s="56"/>
      <c r="CH20" s="57"/>
      <c r="CI20" s="223"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1641</v>
      </c>
      <c r="D21" s="50" t="s">
        <v>250</v>
      </c>
      <c r="E21" s="206">
        <v>5855</v>
      </c>
      <c r="F21" s="52" t="s">
        <v>1616</v>
      </c>
      <c r="G21" s="53" t="s">
        <v>1617</v>
      </c>
      <c r="H21" s="80" t="s">
        <v>1618</v>
      </c>
      <c r="I21" s="300" t="s">
        <v>1619</v>
      </c>
      <c r="J21" s="222" t="s">
        <v>1642</v>
      </c>
      <c r="K21" s="55" t="s">
        <v>1643</v>
      </c>
      <c r="L21" s="55"/>
      <c r="M21" s="56" t="s">
        <v>1644</v>
      </c>
      <c r="N21" s="219" t="s">
        <v>1645</v>
      </c>
      <c r="O21" s="58" t="s">
        <v>146</v>
      </c>
      <c r="P21" s="460" t="s">
        <v>146</v>
      </c>
      <c r="Q21" s="222" t="s">
        <v>1495</v>
      </c>
      <c r="R21" s="77" t="s">
        <v>1496</v>
      </c>
      <c r="S21" s="55">
        <v>0</v>
      </c>
      <c r="T21" s="55">
        <v>0</v>
      </c>
      <c r="U21" s="55">
        <v>0</v>
      </c>
      <c r="V21" s="55">
        <v>0</v>
      </c>
      <c r="W21" s="55">
        <v>100</v>
      </c>
      <c r="X21" s="55">
        <v>0</v>
      </c>
      <c r="Y21" s="55">
        <v>0</v>
      </c>
      <c r="Z21" s="55">
        <v>0</v>
      </c>
      <c r="AA21" s="55">
        <v>0</v>
      </c>
      <c r="AB21" s="53">
        <v>100</v>
      </c>
      <c r="AC21" s="52" t="s">
        <v>199</v>
      </c>
      <c r="AD21" s="209" t="s">
        <v>190</v>
      </c>
      <c r="AE21" s="209" t="s">
        <v>142</v>
      </c>
      <c r="AF21" s="209" t="s">
        <v>146</v>
      </c>
      <c r="AG21" s="209" t="s">
        <v>146</v>
      </c>
      <c r="AH21" s="209">
        <v>1</v>
      </c>
      <c r="AI21" s="55">
        <v>20</v>
      </c>
      <c r="AJ21" s="62">
        <f>SUM(Sheet_1_Table_1_136[[#This Row],[ILP Units Per Session]]*Sheet_1_Table_1_136[[#This Row],[Quota]])</f>
        <v>20</v>
      </c>
      <c r="AK21" s="211">
        <v>46288</v>
      </c>
      <c r="AL21" s="64" t="str">
        <f>TEXT(Sheet_1_Table_1_136[[#This Row],[Lesson 1 
Date 
(DD-MMM-YYYY)]], "ddd")</f>
        <v>Wed</v>
      </c>
      <c r="AM21" s="212">
        <v>0.83333333333333337</v>
      </c>
      <c r="AN21" s="213">
        <v>0.875</v>
      </c>
      <c r="AO21" s="67" t="s">
        <v>1624</v>
      </c>
      <c r="AP21" s="68"/>
      <c r="AQ21" s="64">
        <v>7</v>
      </c>
      <c r="AR21" s="65"/>
      <c r="AS21" s="66"/>
      <c r="AT21" s="66"/>
      <c r="AU21" s="211"/>
      <c r="AV21" s="165">
        <v>7</v>
      </c>
      <c r="AW21" s="212"/>
      <c r="AX21" s="213"/>
      <c r="AY21" s="215"/>
      <c r="AZ21" s="68"/>
      <c r="BA21" s="64">
        <v>7</v>
      </c>
      <c r="BB21" s="65"/>
      <c r="BC21" s="66"/>
      <c r="BD21" s="66"/>
      <c r="BE21" s="211"/>
      <c r="BF21" s="165">
        <v>7</v>
      </c>
      <c r="BG21" s="212"/>
      <c r="BH21" s="213"/>
      <c r="BI21" s="215"/>
      <c r="BJ21" s="68"/>
      <c r="BK21" s="165">
        <v>7</v>
      </c>
      <c r="BL21" s="212"/>
      <c r="BM21" s="213"/>
      <c r="BN21" s="213"/>
      <c r="BO21" s="216" t="s">
        <v>163</v>
      </c>
      <c r="BP21" s="217" t="s">
        <v>1635</v>
      </c>
      <c r="BQ21" s="209" t="s">
        <v>1636</v>
      </c>
      <c r="BR21" s="219" t="s">
        <v>1637</v>
      </c>
      <c r="BS21" s="52"/>
      <c r="BT21" s="217"/>
      <c r="BU21" s="209"/>
      <c r="BV21" s="70"/>
      <c r="BW21" s="60"/>
      <c r="BX21" s="71"/>
      <c r="BY21" s="218" t="s">
        <v>184</v>
      </c>
      <c r="BZ21" s="218"/>
      <c r="CA21" s="218" t="s">
        <v>1638</v>
      </c>
      <c r="CB21" s="220"/>
      <c r="CC21" s="220"/>
      <c r="CD21" s="221"/>
      <c r="CE21" s="222" t="s">
        <v>1639</v>
      </c>
      <c r="CF21" s="221" t="s">
        <v>1640</v>
      </c>
      <c r="CG21" s="56"/>
      <c r="CH21" s="57"/>
      <c r="CI21" s="223"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1646</v>
      </c>
      <c r="D22" s="50" t="s">
        <v>250</v>
      </c>
      <c r="E22" s="51">
        <v>5856</v>
      </c>
      <c r="F22" s="52" t="s">
        <v>1616</v>
      </c>
      <c r="G22" s="53" t="s">
        <v>1617</v>
      </c>
      <c r="H22" s="80" t="s">
        <v>1618</v>
      </c>
      <c r="I22" s="300" t="s">
        <v>1619</v>
      </c>
      <c r="J22" s="141" t="s">
        <v>1647</v>
      </c>
      <c r="K22" s="55" t="s">
        <v>1648</v>
      </c>
      <c r="L22" s="55"/>
      <c r="M22" s="56" t="s">
        <v>1649</v>
      </c>
      <c r="N22" s="219" t="s">
        <v>1650</v>
      </c>
      <c r="O22" s="58" t="s">
        <v>146</v>
      </c>
      <c r="P22" s="460" t="s">
        <v>146</v>
      </c>
      <c r="Q22" s="222" t="s">
        <v>1495</v>
      </c>
      <c r="R22" s="61" t="s">
        <v>1496</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1624</v>
      </c>
      <c r="AP22" s="68"/>
      <c r="AQ22" s="64">
        <f>WEEKDAY([22]!Sheet_1_Table_1_13[[#This Row],[Lesson 2
Date 
(DD-MMM-YYYY)]])</f>
        <v>7</v>
      </c>
      <c r="AR22" s="65"/>
      <c r="AS22" s="66"/>
      <c r="AT22" s="66"/>
      <c r="AU22" s="63"/>
      <c r="AV22" s="64">
        <f>WEEKDAY([22]!Sheet_1_Table_1_13[[#This Row],[Lesson 3
Date 
(DD-MMM-YYYY)]])</f>
        <v>7</v>
      </c>
      <c r="AW22" s="65"/>
      <c r="AX22" s="66"/>
      <c r="AY22" s="67"/>
      <c r="AZ22" s="68"/>
      <c r="BA22" s="64">
        <f>WEEKDAY([22]!Sheet_1_Table_1_13[[#This Row],[Lesson 4
Date 
(DD-MMM-YYYY)]])</f>
        <v>7</v>
      </c>
      <c r="BB22" s="65"/>
      <c r="BC22" s="66"/>
      <c r="BD22" s="66"/>
      <c r="BE22" s="63"/>
      <c r="BF22" s="64">
        <f>WEEKDAY([22]!Sheet_1_Table_1_13[[#This Row],[Lesson 5
Date 
(DD-MMM-YYYY)]])</f>
        <v>7</v>
      </c>
      <c r="BG22" s="65"/>
      <c r="BH22" s="66"/>
      <c r="BI22" s="67"/>
      <c r="BJ22" s="68"/>
      <c r="BK22" s="64">
        <f>WEEKDAY([22]!Sheet_1_Table_1_13[[#This Row],[Lesson 6
Date 
(DD-MMM-YYYY)]])</f>
        <v>7</v>
      </c>
      <c r="BL22" s="65"/>
      <c r="BM22" s="66"/>
      <c r="BN22" s="66"/>
      <c r="BO22" s="54" t="s">
        <v>291</v>
      </c>
      <c r="BP22" s="69" t="s">
        <v>1651</v>
      </c>
      <c r="BQ22" s="55" t="s">
        <v>1652</v>
      </c>
      <c r="BR22" s="57" t="s">
        <v>1653</v>
      </c>
      <c r="BS22" s="52"/>
      <c r="BT22" s="56"/>
      <c r="BU22" s="56"/>
      <c r="BV22" s="70"/>
      <c r="BW22" s="60"/>
      <c r="BX22" s="71"/>
      <c r="BY22" s="56" t="s">
        <v>149</v>
      </c>
      <c r="BZ22" s="56"/>
      <c r="CA22" s="56" t="s">
        <v>1638</v>
      </c>
      <c r="CB22" s="72"/>
      <c r="CC22" s="72"/>
      <c r="CD22" s="71"/>
      <c r="CE22" s="60" t="s">
        <v>1655</v>
      </c>
      <c r="CF22" s="164" t="s">
        <v>1656</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1657</v>
      </c>
      <c r="D23" s="50" t="s">
        <v>174</v>
      </c>
      <c r="E23" s="51">
        <v>5858</v>
      </c>
      <c r="F23" s="52" t="s">
        <v>1616</v>
      </c>
      <c r="G23" s="53" t="s">
        <v>1617</v>
      </c>
      <c r="H23" s="80" t="s">
        <v>1618</v>
      </c>
      <c r="I23" s="300" t="s">
        <v>1619</v>
      </c>
      <c r="J23" s="60" t="s">
        <v>1658</v>
      </c>
      <c r="K23" s="55" t="s">
        <v>1659</v>
      </c>
      <c r="L23" s="55"/>
      <c r="M23" s="56" t="s">
        <v>1660</v>
      </c>
      <c r="N23" s="57" t="s">
        <v>1661</v>
      </c>
      <c r="O23" s="78" t="s">
        <v>146</v>
      </c>
      <c r="P23" s="59" t="s">
        <v>146</v>
      </c>
      <c r="Q23" s="60" t="s">
        <v>1495</v>
      </c>
      <c r="R23" s="77" t="s">
        <v>1496</v>
      </c>
      <c r="S23" s="55">
        <v>0</v>
      </c>
      <c r="T23" s="55">
        <v>0</v>
      </c>
      <c r="U23" s="55">
        <v>0</v>
      </c>
      <c r="V23" s="55">
        <v>0</v>
      </c>
      <c r="W23" s="55">
        <v>0</v>
      </c>
      <c r="X23" s="55">
        <v>10</v>
      </c>
      <c r="Y23" s="55">
        <v>0</v>
      </c>
      <c r="Z23" s="55">
        <v>80</v>
      </c>
      <c r="AA23" s="55">
        <v>10</v>
      </c>
      <c r="AB23" s="53">
        <v>100</v>
      </c>
      <c r="AC23" s="52" t="s">
        <v>199</v>
      </c>
      <c r="AD23" s="55" t="s">
        <v>190</v>
      </c>
      <c r="AE23" s="55" t="s">
        <v>1662</v>
      </c>
      <c r="AF23" s="55" t="s">
        <v>1662</v>
      </c>
      <c r="AG23" s="55" t="s">
        <v>1662</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1624</v>
      </c>
      <c r="AP23" s="68"/>
      <c r="AQ23" s="64">
        <f>WEEKDAY([22]!Sheet_1_Table_1_13[[#This Row],[Lesson 2
Date 
(DD-MMM-YYYY)]])</f>
        <v>7</v>
      </c>
      <c r="AR23" s="65"/>
      <c r="AS23" s="66"/>
      <c r="AT23" s="66"/>
      <c r="AU23" s="63"/>
      <c r="AV23" s="64">
        <f>WEEKDAY([22]!Sheet_1_Table_1_13[[#This Row],[Lesson 3
Date 
(DD-MMM-YYYY)]])</f>
        <v>7</v>
      </c>
      <c r="AW23" s="65"/>
      <c r="AX23" s="66"/>
      <c r="AY23" s="67"/>
      <c r="AZ23" s="68"/>
      <c r="BA23" s="64">
        <f>WEEKDAY([22]!Sheet_1_Table_1_13[[#This Row],[Lesson 4
Date 
(DD-MMM-YYYY)]])</f>
        <v>7</v>
      </c>
      <c r="BB23" s="65"/>
      <c r="BC23" s="66"/>
      <c r="BD23" s="66"/>
      <c r="BE23" s="63"/>
      <c r="BF23" s="64">
        <f>WEEKDAY([22]!Sheet_1_Table_1_13[[#This Row],[Lesson 5
Date 
(DD-MMM-YYYY)]])</f>
        <v>7</v>
      </c>
      <c r="BG23" s="65"/>
      <c r="BH23" s="66"/>
      <c r="BI23" s="67"/>
      <c r="BJ23" s="68"/>
      <c r="BK23" s="64">
        <f>WEEKDAY([22]!Sheet_1_Table_1_13[[#This Row],[Lesson 6
Date 
(DD-MMM-YYYY)]])</f>
        <v>7</v>
      </c>
      <c r="BL23" s="65"/>
      <c r="BM23" s="66"/>
      <c r="BN23" s="66"/>
      <c r="BO23" s="54" t="s">
        <v>1663</v>
      </c>
      <c r="BP23" s="69" t="s">
        <v>1664</v>
      </c>
      <c r="BQ23" s="55" t="s">
        <v>1665</v>
      </c>
      <c r="BR23" s="57" t="s">
        <v>1653</v>
      </c>
      <c r="BS23" s="52"/>
      <c r="BT23" s="56"/>
      <c r="BU23" s="56"/>
      <c r="BV23" s="70"/>
      <c r="BW23" s="60"/>
      <c r="BX23" s="71"/>
      <c r="BY23" s="56" t="s">
        <v>184</v>
      </c>
      <c r="BZ23" s="56"/>
      <c r="CA23" s="56" t="s">
        <v>2230</v>
      </c>
      <c r="CB23" s="72"/>
      <c r="CC23" s="72"/>
      <c r="CD23" s="71"/>
      <c r="CE23" s="60" t="s">
        <v>1666</v>
      </c>
      <c r="CF23" s="164" t="s">
        <v>1667</v>
      </c>
      <c r="CG23" s="56" t="s">
        <v>1668</v>
      </c>
      <c r="CH23" s="301" t="s">
        <v>1669</v>
      </c>
      <c r="CI23" s="52" t="s">
        <v>1662</v>
      </c>
      <c r="CJ23" s="52" t="s">
        <v>142</v>
      </c>
      <c r="CK23" s="52" t="s">
        <v>142</v>
      </c>
      <c r="CL23" s="52" t="s">
        <v>142</v>
      </c>
      <c r="CM23" s="52" t="s">
        <v>1662</v>
      </c>
      <c r="CN23" s="52" t="s">
        <v>142</v>
      </c>
      <c r="CO23" s="52" t="s">
        <v>142</v>
      </c>
      <c r="CP23" s="52" t="s">
        <v>142</v>
      </c>
      <c r="CQ23" s="52" t="s">
        <v>1670</v>
      </c>
      <c r="CR23" s="52" t="s">
        <v>142</v>
      </c>
      <c r="CS23" s="52" t="s">
        <v>1662</v>
      </c>
      <c r="CT23" s="52" t="s">
        <v>142</v>
      </c>
      <c r="CU23" s="52" t="s">
        <v>1662</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1671</v>
      </c>
      <c r="D24" s="50" t="s">
        <v>174</v>
      </c>
      <c r="E24" s="51">
        <v>5859</v>
      </c>
      <c r="F24" s="52" t="s">
        <v>1616</v>
      </c>
      <c r="G24" s="53" t="s">
        <v>1617</v>
      </c>
      <c r="H24" s="80" t="s">
        <v>1618</v>
      </c>
      <c r="I24" s="300" t="s">
        <v>1619</v>
      </c>
      <c r="J24" s="60" t="s">
        <v>1672</v>
      </c>
      <c r="K24" s="55" t="s">
        <v>1673</v>
      </c>
      <c r="L24" s="55" t="s">
        <v>1674</v>
      </c>
      <c r="M24" s="56" t="s">
        <v>1675</v>
      </c>
      <c r="N24" s="57" t="s">
        <v>1676</v>
      </c>
      <c r="O24" s="78" t="s">
        <v>146</v>
      </c>
      <c r="P24" s="59" t="s">
        <v>146</v>
      </c>
      <c r="Q24" s="60" t="s">
        <v>1495</v>
      </c>
      <c r="R24" s="77" t="s">
        <v>1496</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1624</v>
      </c>
      <c r="AP24" s="68"/>
      <c r="AQ24" s="64">
        <f>WEEKDAY([22]!Sheet_1_Table_1_13[[#This Row],[Lesson 2
Date 
(DD-MMM-YYYY)]])</f>
        <v>7</v>
      </c>
      <c r="AR24" s="65"/>
      <c r="AS24" s="66"/>
      <c r="AT24" s="66"/>
      <c r="AU24" s="63"/>
      <c r="AV24" s="165">
        <f>WEEKDAY([22]!Sheet_1_Table_1_13[[#This Row],[Lesson 3
Date 
(DD-MMM-YYYY)]])</f>
        <v>7</v>
      </c>
      <c r="AW24" s="65"/>
      <c r="AX24" s="66"/>
      <c r="AY24" s="67"/>
      <c r="AZ24" s="68"/>
      <c r="BA24" s="64">
        <f>WEEKDAY([22]!Sheet_1_Table_1_13[[#This Row],[Lesson 4
Date 
(DD-MMM-YYYY)]])</f>
        <v>7</v>
      </c>
      <c r="BB24" s="65"/>
      <c r="BC24" s="66"/>
      <c r="BD24" s="66"/>
      <c r="BE24" s="63"/>
      <c r="BF24" s="165">
        <f>WEEKDAY([22]!Sheet_1_Table_1_13[[#This Row],[Lesson 5
Date 
(DD-MMM-YYYY)]])</f>
        <v>7</v>
      </c>
      <c r="BG24" s="65"/>
      <c r="BH24" s="66"/>
      <c r="BI24" s="67"/>
      <c r="BJ24" s="68"/>
      <c r="BK24" s="165">
        <f>WEEKDAY([22]!Sheet_1_Table_1_13[[#This Row],[Lesson 6
Date 
(DD-MMM-YYYY)]])</f>
        <v>7</v>
      </c>
      <c r="BL24" s="65"/>
      <c r="BM24" s="66"/>
      <c r="BN24" s="66"/>
      <c r="BO24" s="54"/>
      <c r="BP24" s="69" t="s">
        <v>1677</v>
      </c>
      <c r="BQ24" s="69"/>
      <c r="BR24" s="57" t="s">
        <v>1678</v>
      </c>
      <c r="BS24" s="52"/>
      <c r="BT24" s="56"/>
      <c r="BU24" s="56"/>
      <c r="BV24" s="70"/>
      <c r="BW24" s="60"/>
      <c r="BX24" s="71"/>
      <c r="BY24" s="56" t="s">
        <v>184</v>
      </c>
      <c r="BZ24" s="56"/>
      <c r="CA24" s="56" t="s">
        <v>1638</v>
      </c>
      <c r="CB24" s="72"/>
      <c r="CC24" s="72"/>
      <c r="CD24" s="71"/>
      <c r="CE24" s="60" t="s">
        <v>1639</v>
      </c>
      <c r="CF24" s="71" t="s">
        <v>1640</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1679</v>
      </c>
      <c r="D25" s="50" t="s">
        <v>174</v>
      </c>
      <c r="E25" s="51">
        <v>5860</v>
      </c>
      <c r="F25" s="52" t="s">
        <v>1616</v>
      </c>
      <c r="G25" s="53" t="s">
        <v>1617</v>
      </c>
      <c r="H25" s="80" t="s">
        <v>1618</v>
      </c>
      <c r="I25" s="300" t="s">
        <v>1619</v>
      </c>
      <c r="J25" s="60" t="s">
        <v>1680</v>
      </c>
      <c r="K25" s="55" t="s">
        <v>1681</v>
      </c>
      <c r="L25" s="55" t="s">
        <v>1682</v>
      </c>
      <c r="M25" s="56" t="s">
        <v>1683</v>
      </c>
      <c r="N25" s="57" t="s">
        <v>1676</v>
      </c>
      <c r="O25" s="78" t="s">
        <v>146</v>
      </c>
      <c r="P25" s="59" t="s">
        <v>146</v>
      </c>
      <c r="Q25" s="60" t="s">
        <v>1495</v>
      </c>
      <c r="R25" s="61" t="s">
        <v>1496</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1624</v>
      </c>
      <c r="AP25" s="68"/>
      <c r="AQ25" s="64">
        <f>WEEKDAY([22]!Sheet_1_Table_1_13[[#This Row],[Lesson 2
Date 
(DD-MMM-YYYY)]])</f>
        <v>7</v>
      </c>
      <c r="AR25" s="65"/>
      <c r="AS25" s="66"/>
      <c r="AT25" s="66"/>
      <c r="AU25" s="63"/>
      <c r="AV25" s="165">
        <f>WEEKDAY([22]!Sheet_1_Table_1_13[[#This Row],[Lesson 3
Date 
(DD-MMM-YYYY)]])</f>
        <v>7</v>
      </c>
      <c r="AW25" s="65"/>
      <c r="AX25" s="66"/>
      <c r="AY25" s="67"/>
      <c r="AZ25" s="68"/>
      <c r="BA25" s="64">
        <f>WEEKDAY([22]!Sheet_1_Table_1_13[[#This Row],[Lesson 4
Date 
(DD-MMM-YYYY)]])</f>
        <v>7</v>
      </c>
      <c r="BB25" s="65"/>
      <c r="BC25" s="66"/>
      <c r="BD25" s="66"/>
      <c r="BE25" s="63"/>
      <c r="BF25" s="165">
        <f>WEEKDAY([22]!Sheet_1_Table_1_13[[#This Row],[Lesson 5
Date 
(DD-MMM-YYYY)]])</f>
        <v>7</v>
      </c>
      <c r="BG25" s="65"/>
      <c r="BH25" s="66"/>
      <c r="BI25" s="67"/>
      <c r="BJ25" s="68"/>
      <c r="BK25" s="165">
        <f>WEEKDAY([22]!Sheet_1_Table_1_13[[#This Row],[Lesson 6
Date 
(DD-MMM-YYYY)]])</f>
        <v>7</v>
      </c>
      <c r="BL25" s="65"/>
      <c r="BM25" s="66"/>
      <c r="BN25" s="66"/>
      <c r="BO25" s="54"/>
      <c r="BP25" s="69" t="s">
        <v>1677</v>
      </c>
      <c r="BQ25" s="55"/>
      <c r="BR25" s="57" t="s">
        <v>1678</v>
      </c>
      <c r="BS25" s="52"/>
      <c r="BT25" s="56"/>
      <c r="BU25" s="56"/>
      <c r="BV25" s="70"/>
      <c r="BW25" s="60"/>
      <c r="BX25" s="71"/>
      <c r="BY25" s="56" t="s">
        <v>149</v>
      </c>
      <c r="BZ25" s="56"/>
      <c r="CA25" s="56" t="s">
        <v>1654</v>
      </c>
      <c r="CB25" s="72"/>
      <c r="CC25" s="72"/>
      <c r="CD25" s="71"/>
      <c r="CE25" s="222" t="s">
        <v>1639</v>
      </c>
      <c r="CF25" s="221" t="s">
        <v>1640</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1671</v>
      </c>
      <c r="D26" s="50" t="s">
        <v>174</v>
      </c>
      <c r="E26" s="51">
        <v>5861</v>
      </c>
      <c r="F26" s="52" t="s">
        <v>1616</v>
      </c>
      <c r="G26" s="53" t="s">
        <v>1617</v>
      </c>
      <c r="H26" s="80" t="s">
        <v>1618</v>
      </c>
      <c r="I26" s="300" t="s">
        <v>1619</v>
      </c>
      <c r="J26" s="461" t="s">
        <v>1684</v>
      </c>
      <c r="K26" s="457" t="s">
        <v>1685</v>
      </c>
      <c r="L26" s="55"/>
      <c r="M26" s="462" t="s">
        <v>1686</v>
      </c>
      <c r="N26" s="458" t="s">
        <v>1687</v>
      </c>
      <c r="O26" s="78" t="s">
        <v>146</v>
      </c>
      <c r="P26" s="59" t="s">
        <v>146</v>
      </c>
      <c r="Q26" s="60" t="s">
        <v>1495</v>
      </c>
      <c r="R26" s="61" t="s">
        <v>1496</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57">
        <v>1</v>
      </c>
      <c r="AI26" s="457">
        <v>20</v>
      </c>
      <c r="AJ26" s="62">
        <f>SUM(Sheet_1_Table_1_136[[#This Row],[ILP Units Per Session]]*Sheet_1_Table_1_136[[#This Row],[Quota]])</f>
        <v>20</v>
      </c>
      <c r="AK26" s="63">
        <v>46303</v>
      </c>
      <c r="AL26" s="64" t="str">
        <f>TEXT(Sheet_1_Table_1_136[[#This Row],[Lesson 1 
Date 
(DD-MMM-YYYY)]], "ddd")</f>
        <v>Thu</v>
      </c>
      <c r="AM26" s="463">
        <v>0.75</v>
      </c>
      <c r="AN26" s="464">
        <v>0.79166666666666696</v>
      </c>
      <c r="AO26" s="67" t="s">
        <v>1624</v>
      </c>
      <c r="AP26" s="68"/>
      <c r="AQ26" s="64">
        <f>WEEKDAY([22]!Sheet_1_Table_1_13[[#This Row],[Lesson 2
Date 
(DD-MMM-YYYY)]])</f>
        <v>7</v>
      </c>
      <c r="AR26" s="65"/>
      <c r="AS26" s="66"/>
      <c r="AT26" s="66"/>
      <c r="AU26" s="63"/>
      <c r="AV26" s="165">
        <f>WEEKDAY([22]!Sheet_1_Table_1_13[[#This Row],[Lesson 3
Date 
(DD-MMM-YYYY)]])</f>
        <v>7</v>
      </c>
      <c r="AW26" s="65"/>
      <c r="AX26" s="66"/>
      <c r="AY26" s="67"/>
      <c r="AZ26" s="68"/>
      <c r="BA26" s="64">
        <f>WEEKDAY([22]!Sheet_1_Table_1_13[[#This Row],[Lesson 4
Date 
(DD-MMM-YYYY)]])</f>
        <v>7</v>
      </c>
      <c r="BB26" s="65"/>
      <c r="BC26" s="66"/>
      <c r="BD26" s="66"/>
      <c r="BE26" s="63"/>
      <c r="BF26" s="165">
        <f>WEEKDAY([22]!Sheet_1_Table_1_13[[#This Row],[Lesson 5
Date 
(DD-MMM-YYYY)]])</f>
        <v>7</v>
      </c>
      <c r="BG26" s="65"/>
      <c r="BH26" s="66"/>
      <c r="BI26" s="67"/>
      <c r="BJ26" s="68"/>
      <c r="BK26" s="165">
        <f>WEEKDAY([22]!Sheet_1_Table_1_13[[#This Row],[Lesson 6
Date 
(DD-MMM-YYYY)]])</f>
        <v>7</v>
      </c>
      <c r="BL26" s="65"/>
      <c r="BM26" s="66"/>
      <c r="BN26" s="66"/>
      <c r="BO26" s="465" t="s">
        <v>163</v>
      </c>
      <c r="BP26" s="466" t="s">
        <v>1688</v>
      </c>
      <c r="BQ26" s="457" t="s">
        <v>1689</v>
      </c>
      <c r="BR26" s="458" t="s">
        <v>1653</v>
      </c>
      <c r="BS26" s="52"/>
      <c r="BT26" s="56"/>
      <c r="BU26" s="56"/>
      <c r="BV26" s="70"/>
      <c r="BW26" s="60"/>
      <c r="BX26" s="71"/>
      <c r="BY26" s="56"/>
      <c r="BZ26" s="56"/>
      <c r="CA26" s="462" t="s">
        <v>1690</v>
      </c>
      <c r="CB26" s="72"/>
      <c r="CC26" s="72"/>
      <c r="CD26" s="71"/>
      <c r="CE26" s="467" t="s">
        <v>1691</v>
      </c>
      <c r="CF26" s="468" t="s">
        <v>1692</v>
      </c>
      <c r="CG26" s="56"/>
      <c r="CH26" s="57"/>
      <c r="CI26" s="469" t="s">
        <v>146</v>
      </c>
      <c r="CJ26" s="469" t="s">
        <v>142</v>
      </c>
      <c r="CK26" s="469" t="s">
        <v>142</v>
      </c>
      <c r="CL26" s="469" t="s">
        <v>146</v>
      </c>
      <c r="CM26" s="469" t="s">
        <v>142</v>
      </c>
      <c r="CN26" s="469" t="s">
        <v>142</v>
      </c>
      <c r="CO26" s="469" t="s">
        <v>142</v>
      </c>
      <c r="CP26" s="469" t="s">
        <v>142</v>
      </c>
      <c r="CQ26" s="469" t="s">
        <v>142</v>
      </c>
      <c r="CR26" s="469" t="s">
        <v>142</v>
      </c>
      <c r="CS26" s="469" t="s">
        <v>142</v>
      </c>
      <c r="CT26" s="469" t="s">
        <v>142</v>
      </c>
      <c r="CU26" s="469" t="s">
        <v>142</v>
      </c>
      <c r="CV26" s="469" t="s">
        <v>142</v>
      </c>
      <c r="CW26" s="469" t="s">
        <v>142</v>
      </c>
      <c r="CX26" s="469" t="s">
        <v>142</v>
      </c>
      <c r="CY26" s="469" t="s">
        <v>142</v>
      </c>
      <c r="CZ26" s="470" t="s">
        <v>142</v>
      </c>
      <c r="DA26" s="470"/>
      <c r="DB26" s="50"/>
      <c r="DC26" s="50"/>
      <c r="DD26" s="50"/>
      <c r="DE26" s="50"/>
      <c r="DF26" s="50"/>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1693</v>
      </c>
      <c r="D27" s="50" t="s">
        <v>250</v>
      </c>
      <c r="E27" s="51">
        <v>5862</v>
      </c>
      <c r="F27" s="471" t="s">
        <v>1694</v>
      </c>
      <c r="G27" s="472" t="s">
        <v>1617</v>
      </c>
      <c r="H27" s="199" t="s">
        <v>1695</v>
      </c>
      <c r="I27" s="207" t="s">
        <v>1696</v>
      </c>
      <c r="J27" s="60" t="s">
        <v>1697</v>
      </c>
      <c r="K27" s="55" t="s">
        <v>1698</v>
      </c>
      <c r="L27" s="55"/>
      <c r="M27" s="56" t="s">
        <v>1699</v>
      </c>
      <c r="N27" s="57" t="s">
        <v>1700</v>
      </c>
      <c r="O27" s="58" t="s">
        <v>146</v>
      </c>
      <c r="P27" s="59" t="s">
        <v>146</v>
      </c>
      <c r="Q27" s="222" t="s">
        <v>1495</v>
      </c>
      <c r="R27" s="61" t="s">
        <v>1496</v>
      </c>
      <c r="S27" s="55">
        <v>20</v>
      </c>
      <c r="T27" s="55">
        <v>0</v>
      </c>
      <c r="U27" s="55">
        <v>0</v>
      </c>
      <c r="V27" s="55">
        <v>0</v>
      </c>
      <c r="W27" s="55">
        <v>40</v>
      </c>
      <c r="X27" s="55">
        <v>0</v>
      </c>
      <c r="Y27" s="55">
        <v>0</v>
      </c>
      <c r="Z27" s="55">
        <v>0</v>
      </c>
      <c r="AA27" s="55">
        <v>40</v>
      </c>
      <c r="AB27" s="53">
        <v>100</v>
      </c>
      <c r="AC27" s="52" t="s">
        <v>144</v>
      </c>
      <c r="AD27" s="55" t="s">
        <v>353</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WEEKDAY([17]!Sheet_1_Table_1_13[[#This Row],[Lesson 2
Date 
(DD-MMM-YYYY)]])</f>
        <v>#REF!</v>
      </c>
      <c r="AR27" s="65"/>
      <c r="AS27" s="66"/>
      <c r="AT27" s="66"/>
      <c r="AU27" s="63"/>
      <c r="AV27" s="64" t="e">
        <f>WEEKDAY([17]!Sheet_1_Table_1_13[[#This Row],[Lesson 3
Date 
(DD-MMM-YYYY)]])</f>
        <v>#REF!</v>
      </c>
      <c r="AW27" s="65"/>
      <c r="AX27" s="66"/>
      <c r="AY27" s="67"/>
      <c r="AZ27" s="68"/>
      <c r="BA27" s="64" t="e">
        <f>WEEKDAY([17]!Sheet_1_Table_1_13[[#This Row],[Lesson 4
Date 
(DD-MMM-YYYY)]])</f>
        <v>#REF!</v>
      </c>
      <c r="BB27" s="65"/>
      <c r="BC27" s="66"/>
      <c r="BD27" s="66"/>
      <c r="BE27" s="63"/>
      <c r="BF27" s="64" t="e">
        <f>WEEKDAY([17]!Sheet_1_Table_1_13[[#This Row],[Lesson 5
Date 
(DD-MMM-YYYY)]])</f>
        <v>#REF!</v>
      </c>
      <c r="BG27" s="65"/>
      <c r="BH27" s="66"/>
      <c r="BI27" s="67"/>
      <c r="BJ27" s="68"/>
      <c r="BK27" s="64" t="e">
        <f>WEEKDAY([17]!Sheet_1_Table_1_13[[#This Row],[Lesson 6
Date 
(DD-MMM-YYYY)]])</f>
        <v>#REF!</v>
      </c>
      <c r="BL27" s="65"/>
      <c r="BM27" s="66"/>
      <c r="BN27" s="66"/>
      <c r="BO27" s="54"/>
      <c r="BP27" s="69" t="s">
        <v>1701</v>
      </c>
      <c r="BQ27" s="55"/>
      <c r="BR27" s="57" t="s">
        <v>184</v>
      </c>
      <c r="BS27" s="52"/>
      <c r="BT27" s="56"/>
      <c r="BU27" s="56"/>
      <c r="BV27" s="70"/>
      <c r="BW27" s="60"/>
      <c r="BX27" s="71"/>
      <c r="BY27" s="56" t="s">
        <v>149</v>
      </c>
      <c r="BZ27" s="56"/>
      <c r="CA27" s="55" t="s">
        <v>1638</v>
      </c>
      <c r="CB27" s="72"/>
      <c r="CC27" s="72"/>
      <c r="CD27" s="71"/>
      <c r="CE27" s="473" t="s">
        <v>1702</v>
      </c>
      <c r="CF27" s="164" t="s">
        <v>1703</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205" t="s">
        <v>1704</v>
      </c>
      <c r="D28" s="205" t="s">
        <v>174</v>
      </c>
      <c r="E28" s="206">
        <v>5863</v>
      </c>
      <c r="F28" s="471" t="s">
        <v>1694</v>
      </c>
      <c r="G28" s="472" t="s">
        <v>1617</v>
      </c>
      <c r="H28" s="199" t="s">
        <v>1695</v>
      </c>
      <c r="I28" s="207" t="s">
        <v>1696</v>
      </c>
      <c r="J28" s="222" t="s">
        <v>1705</v>
      </c>
      <c r="K28" s="55" t="s">
        <v>1706</v>
      </c>
      <c r="L28" s="55"/>
      <c r="M28" s="56" t="s">
        <v>1707</v>
      </c>
      <c r="N28" s="219" t="s">
        <v>1708</v>
      </c>
      <c r="O28" s="58" t="s">
        <v>146</v>
      </c>
      <c r="P28" s="460" t="s">
        <v>146</v>
      </c>
      <c r="Q28" s="222" t="s">
        <v>1495</v>
      </c>
      <c r="R28" s="61" t="s">
        <v>1496</v>
      </c>
      <c r="S28" s="55">
        <v>0</v>
      </c>
      <c r="T28" s="55">
        <v>0</v>
      </c>
      <c r="U28" s="55">
        <v>0</v>
      </c>
      <c r="V28" s="55">
        <v>0</v>
      </c>
      <c r="W28" s="55">
        <v>0</v>
      </c>
      <c r="X28" s="55">
        <v>100</v>
      </c>
      <c r="Y28" s="55">
        <v>0</v>
      </c>
      <c r="Z28" s="55">
        <v>0</v>
      </c>
      <c r="AA28" s="55">
        <v>0</v>
      </c>
      <c r="AB28" s="53">
        <v>100</v>
      </c>
      <c r="AC28" s="52" t="s">
        <v>144</v>
      </c>
      <c r="AD28" s="209" t="s">
        <v>190</v>
      </c>
      <c r="AE28" s="209" t="s">
        <v>142</v>
      </c>
      <c r="AF28" s="209" t="s">
        <v>146</v>
      </c>
      <c r="AG28" s="209" t="s">
        <v>146</v>
      </c>
      <c r="AH28" s="209">
        <v>1</v>
      </c>
      <c r="AI28" s="55">
        <v>25</v>
      </c>
      <c r="AJ28" s="62">
        <f>SUM(Sheet_1_Table_1_136[[#This Row],[ILP Units Per Session]]*Sheet_1_Table_1_136[[#This Row],[Quota]])</f>
        <v>25</v>
      </c>
      <c r="AK28" s="211">
        <v>46301</v>
      </c>
      <c r="AL28" s="64" t="str">
        <f>TEXT(Sheet_1_Table_1_136[[#This Row],[Lesson 1 
Date 
(DD-MMM-YYYY)]], "ddd")</f>
        <v>Tue</v>
      </c>
      <c r="AM28" s="212">
        <v>0.8125</v>
      </c>
      <c r="AN28" s="213">
        <v>0.85416666666666663</v>
      </c>
      <c r="AO28" s="215" t="s">
        <v>1709</v>
      </c>
      <c r="AP28" s="68"/>
      <c r="AQ28" s="64" t="e">
        <f>WEEKDAY([17]!Sheet_1_Table_1_13[[#This Row],[Lesson 2
Date 
(DD-MMM-YYYY)]])</f>
        <v>#REF!</v>
      </c>
      <c r="AR28" s="65"/>
      <c r="AS28" s="66"/>
      <c r="AT28" s="66"/>
      <c r="AU28" s="211"/>
      <c r="AV28" s="165" t="e">
        <f>WEEKDAY([17]!Sheet_1_Table_1_13[[#This Row],[Lesson 3
Date 
(DD-MMM-YYYY)]])</f>
        <v>#REF!</v>
      </c>
      <c r="AW28" s="212"/>
      <c r="AX28" s="213"/>
      <c r="AY28" s="215"/>
      <c r="AZ28" s="68"/>
      <c r="BA28" s="64" t="e">
        <f>WEEKDAY([17]!Sheet_1_Table_1_13[[#This Row],[Lesson 4
Date 
(DD-MMM-YYYY)]])</f>
        <v>#REF!</v>
      </c>
      <c r="BB28" s="65"/>
      <c r="BC28" s="66"/>
      <c r="BD28" s="66"/>
      <c r="BE28" s="211"/>
      <c r="BF28" s="165" t="e">
        <f>WEEKDAY([17]!Sheet_1_Table_1_13[[#This Row],[Lesson 5
Date 
(DD-MMM-YYYY)]])</f>
        <v>#REF!</v>
      </c>
      <c r="BG28" s="212"/>
      <c r="BH28" s="213"/>
      <c r="BI28" s="215"/>
      <c r="BJ28" s="68"/>
      <c r="BK28" s="165" t="e">
        <f>WEEKDAY([17]!Sheet_1_Table_1_13[[#This Row],[Lesson 6
Date 
(DD-MMM-YYYY)]])</f>
        <v>#REF!</v>
      </c>
      <c r="BL28" s="212"/>
      <c r="BM28" s="213"/>
      <c r="BN28" s="213"/>
      <c r="BO28" s="216" t="s">
        <v>291</v>
      </c>
      <c r="BP28" s="217" t="s">
        <v>1710</v>
      </c>
      <c r="BQ28" s="209" t="s">
        <v>1711</v>
      </c>
      <c r="BR28" s="219" t="s">
        <v>1712</v>
      </c>
      <c r="BS28" s="52"/>
      <c r="BT28" s="217"/>
      <c r="BU28" s="209"/>
      <c r="BV28" s="70"/>
      <c r="BW28" s="60"/>
      <c r="BX28" s="71"/>
      <c r="BY28" s="218" t="s">
        <v>149</v>
      </c>
      <c r="BZ28" s="218"/>
      <c r="CA28" s="55" t="s">
        <v>1713</v>
      </c>
      <c r="CB28" s="220"/>
      <c r="CC28" s="220"/>
      <c r="CD28" s="221"/>
      <c r="CE28" s="222" t="s">
        <v>1714</v>
      </c>
      <c r="CF28" s="474" t="s">
        <v>1715</v>
      </c>
      <c r="CG28" s="56"/>
      <c r="CH28" s="57"/>
      <c r="CI28" s="223"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1716</v>
      </c>
      <c r="D29" s="205" t="s">
        <v>174</v>
      </c>
      <c r="E29" s="206">
        <v>5864</v>
      </c>
      <c r="F29" s="471" t="s">
        <v>1694</v>
      </c>
      <c r="G29" s="472" t="s">
        <v>1617</v>
      </c>
      <c r="H29" s="199" t="s">
        <v>1695</v>
      </c>
      <c r="I29" s="207" t="s">
        <v>1696</v>
      </c>
      <c r="J29" s="222" t="s">
        <v>1717</v>
      </c>
      <c r="K29" s="55" t="s">
        <v>1718</v>
      </c>
      <c r="L29" s="55"/>
      <c r="M29" s="56" t="s">
        <v>1719</v>
      </c>
      <c r="N29" s="219" t="s">
        <v>1720</v>
      </c>
      <c r="O29" s="58" t="s">
        <v>146</v>
      </c>
      <c r="P29" s="460" t="s">
        <v>146</v>
      </c>
      <c r="Q29" s="222" t="s">
        <v>1495</v>
      </c>
      <c r="R29" s="61" t="s">
        <v>1496</v>
      </c>
      <c r="S29" s="55">
        <v>40</v>
      </c>
      <c r="T29" s="55">
        <v>0</v>
      </c>
      <c r="U29" s="55">
        <v>0</v>
      </c>
      <c r="V29" s="55">
        <v>0</v>
      </c>
      <c r="W29" s="55">
        <v>0</v>
      </c>
      <c r="X29" s="55">
        <v>0</v>
      </c>
      <c r="Y29" s="55">
        <v>0</v>
      </c>
      <c r="Z29" s="55">
        <v>0</v>
      </c>
      <c r="AA29" s="55">
        <v>60</v>
      </c>
      <c r="AB29" s="53">
        <v>100</v>
      </c>
      <c r="AC29" s="52" t="s">
        <v>199</v>
      </c>
      <c r="AD29" s="209" t="s">
        <v>190</v>
      </c>
      <c r="AE29" s="209" t="s">
        <v>146</v>
      </c>
      <c r="AF29" s="209" t="s">
        <v>146</v>
      </c>
      <c r="AG29" s="209" t="s">
        <v>142</v>
      </c>
      <c r="AH29" s="209">
        <v>1.5</v>
      </c>
      <c r="AI29" s="55">
        <v>30</v>
      </c>
      <c r="AJ29" s="62">
        <f>SUM(Sheet_1_Table_1_136[[#This Row],[ILP Units Per Session]]*Sheet_1_Table_1_136[[#This Row],[Quota]])</f>
        <v>45</v>
      </c>
      <c r="AK29" s="211">
        <v>46309</v>
      </c>
      <c r="AL29" s="64" t="str">
        <f>TEXT(Sheet_1_Table_1_136[[#This Row],[Lesson 1 
Date 
(DD-MMM-YYYY)]], "ddd")</f>
        <v>Wed</v>
      </c>
      <c r="AM29" s="212">
        <v>0.8125</v>
      </c>
      <c r="AN29" s="213">
        <v>0.875</v>
      </c>
      <c r="AO29" s="215" t="s">
        <v>1709</v>
      </c>
      <c r="AP29" s="68"/>
      <c r="AQ29" s="64" t="e">
        <f>WEEKDAY([17]!Sheet_1_Table_1_13[[#This Row],[Lesson 2
Date 
(DD-MMM-YYYY)]])</f>
        <v>#REF!</v>
      </c>
      <c r="AR29" s="65"/>
      <c r="AS29" s="66"/>
      <c r="AT29" s="66"/>
      <c r="AU29" s="211"/>
      <c r="AV29" s="165" t="e">
        <f>WEEKDAY([17]!Sheet_1_Table_1_13[[#This Row],[Lesson 3
Date 
(DD-MMM-YYYY)]])</f>
        <v>#REF!</v>
      </c>
      <c r="AW29" s="212"/>
      <c r="AX29" s="213"/>
      <c r="AY29" s="215"/>
      <c r="AZ29" s="68"/>
      <c r="BA29" s="64" t="e">
        <f>WEEKDAY([17]!Sheet_1_Table_1_13[[#This Row],[Lesson 4
Date 
(DD-MMM-YYYY)]])</f>
        <v>#REF!</v>
      </c>
      <c r="BB29" s="65"/>
      <c r="BC29" s="66"/>
      <c r="BD29" s="66"/>
      <c r="BE29" s="211"/>
      <c r="BF29" s="165" t="e">
        <f>WEEKDAY([17]!Sheet_1_Table_1_13[[#This Row],[Lesson 5
Date 
(DD-MMM-YYYY)]])</f>
        <v>#REF!</v>
      </c>
      <c r="BG29" s="212"/>
      <c r="BH29" s="213"/>
      <c r="BI29" s="215"/>
      <c r="BJ29" s="68"/>
      <c r="BK29" s="165" t="e">
        <f>WEEKDAY([17]!Sheet_1_Table_1_13[[#This Row],[Lesson 6
Date 
(DD-MMM-YYYY)]])</f>
        <v>#REF!</v>
      </c>
      <c r="BL29" s="212"/>
      <c r="BM29" s="213"/>
      <c r="BN29" s="213"/>
      <c r="BO29" s="216" t="s">
        <v>163</v>
      </c>
      <c r="BP29" s="475" t="s">
        <v>1721</v>
      </c>
      <c r="BQ29" s="476" t="s">
        <v>1722</v>
      </c>
      <c r="BR29" s="477" t="s">
        <v>1723</v>
      </c>
      <c r="BS29" s="52"/>
      <c r="BT29" s="217"/>
      <c r="BU29" s="209"/>
      <c r="BV29" s="70"/>
      <c r="BW29" s="60"/>
      <c r="BX29" s="71"/>
      <c r="BY29" s="218" t="s">
        <v>149</v>
      </c>
      <c r="BZ29" s="218"/>
      <c r="CA29" s="55" t="s">
        <v>1638</v>
      </c>
      <c r="CB29" s="220"/>
      <c r="CC29" s="220"/>
      <c r="CD29" s="221"/>
      <c r="CE29" s="478" t="s">
        <v>1724</v>
      </c>
      <c r="CF29" s="474" t="s">
        <v>1725</v>
      </c>
      <c r="CG29" s="56"/>
      <c r="CH29" s="57"/>
      <c r="CI29" s="223"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1726</v>
      </c>
      <c r="D30" s="205" t="s">
        <v>174</v>
      </c>
      <c r="E30" s="51">
        <v>5865</v>
      </c>
      <c r="F30" s="471" t="s">
        <v>1694</v>
      </c>
      <c r="G30" s="472" t="s">
        <v>1617</v>
      </c>
      <c r="H30" s="199" t="s">
        <v>1695</v>
      </c>
      <c r="I30" s="207" t="s">
        <v>1696</v>
      </c>
      <c r="J30" s="60" t="s">
        <v>1727</v>
      </c>
      <c r="K30" s="55" t="s">
        <v>1728</v>
      </c>
      <c r="L30" s="55"/>
      <c r="M30" s="56" t="s">
        <v>1729</v>
      </c>
      <c r="N30" s="57" t="s">
        <v>1730</v>
      </c>
      <c r="O30" s="78" t="s">
        <v>146</v>
      </c>
      <c r="P30" s="59" t="s">
        <v>146</v>
      </c>
      <c r="Q30" s="60" t="s">
        <v>1495</v>
      </c>
      <c r="R30" s="61" t="s">
        <v>1496</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9">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15" t="s">
        <v>1709</v>
      </c>
      <c r="AP30" s="68"/>
      <c r="AQ30" s="64" t="e">
        <f>WEEKDAY([17]!Sheet_1_Table_1_13[[#This Row],[Lesson 2
Date 
(DD-MMM-YYYY)]])</f>
        <v>#REF!</v>
      </c>
      <c r="AR30" s="65"/>
      <c r="AS30" s="66"/>
      <c r="AT30" s="66"/>
      <c r="AU30" s="63"/>
      <c r="AV30" s="64" t="e">
        <f>WEEKDAY([17]!Sheet_1_Table_1_13[[#This Row],[Lesson 3
Date 
(DD-MMM-YYYY)]])</f>
        <v>#REF!</v>
      </c>
      <c r="AW30" s="65"/>
      <c r="AX30" s="66"/>
      <c r="AY30" s="67"/>
      <c r="AZ30" s="68"/>
      <c r="BA30" s="64" t="e">
        <f>WEEKDAY([17]!Sheet_1_Table_1_13[[#This Row],[Lesson 4
Date 
(DD-MMM-YYYY)]])</f>
        <v>#REF!</v>
      </c>
      <c r="BB30" s="65"/>
      <c r="BC30" s="66"/>
      <c r="BD30" s="66"/>
      <c r="BE30" s="63"/>
      <c r="BF30" s="64" t="e">
        <f>WEEKDAY([17]!Sheet_1_Table_1_13[[#This Row],[Lesson 5
Date 
(DD-MMM-YYYY)]])</f>
        <v>#REF!</v>
      </c>
      <c r="BG30" s="65"/>
      <c r="BH30" s="66"/>
      <c r="BI30" s="67"/>
      <c r="BJ30" s="68"/>
      <c r="BK30" s="64" t="e">
        <f>WEEKDAY([17]!Sheet_1_Table_1_13[[#This Row],[Lesson 6
Date 
(DD-MMM-YYYY)]])</f>
        <v>#REF!</v>
      </c>
      <c r="BL30" s="65"/>
      <c r="BM30" s="66"/>
      <c r="BN30" s="66"/>
      <c r="BO30" s="54" t="s">
        <v>291</v>
      </c>
      <c r="BP30" s="479" t="s">
        <v>1721</v>
      </c>
      <c r="BQ30" s="476" t="s">
        <v>1722</v>
      </c>
      <c r="BR30" s="477" t="s">
        <v>1723</v>
      </c>
      <c r="BS30" s="52"/>
      <c r="BT30" s="56"/>
      <c r="BU30" s="56"/>
      <c r="BV30" s="70"/>
      <c r="BW30" s="60"/>
      <c r="BX30" s="71"/>
      <c r="BY30" s="56" t="s">
        <v>184</v>
      </c>
      <c r="BZ30" s="56"/>
      <c r="CA30" s="55" t="s">
        <v>1638</v>
      </c>
      <c r="CB30" s="72"/>
      <c r="CC30" s="72"/>
      <c r="CD30" s="71"/>
      <c r="CE30" s="478" t="s">
        <v>1724</v>
      </c>
      <c r="CF30" s="474" t="s">
        <v>1725</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1731</v>
      </c>
      <c r="D31" s="50" t="s">
        <v>174</v>
      </c>
      <c r="E31" s="51">
        <v>5866</v>
      </c>
      <c r="F31" s="471" t="s">
        <v>1694</v>
      </c>
      <c r="G31" s="472" t="s">
        <v>1617</v>
      </c>
      <c r="H31" s="199" t="s">
        <v>1695</v>
      </c>
      <c r="I31" s="207" t="s">
        <v>1696</v>
      </c>
      <c r="J31" s="60" t="s">
        <v>1732</v>
      </c>
      <c r="K31" s="55" t="s">
        <v>1733</v>
      </c>
      <c r="L31" s="55"/>
      <c r="M31" s="56" t="s">
        <v>1734</v>
      </c>
      <c r="N31" s="57" t="s">
        <v>1735</v>
      </c>
      <c r="O31" s="78" t="s">
        <v>146</v>
      </c>
      <c r="P31" s="59" t="s">
        <v>146</v>
      </c>
      <c r="Q31" s="60" t="s">
        <v>1495</v>
      </c>
      <c r="R31" s="61" t="s">
        <v>1496</v>
      </c>
      <c r="S31" s="55">
        <v>0</v>
      </c>
      <c r="T31" s="55">
        <v>50</v>
      </c>
      <c r="U31" s="55">
        <v>0</v>
      </c>
      <c r="V31" s="55">
        <v>0</v>
      </c>
      <c r="W31" s="55">
        <v>0</v>
      </c>
      <c r="X31" s="55">
        <v>0</v>
      </c>
      <c r="Y31" s="55">
        <v>0</v>
      </c>
      <c r="Z31" s="55">
        <v>0</v>
      </c>
      <c r="AA31" s="55">
        <v>50</v>
      </c>
      <c r="AB31" s="53">
        <v>100</v>
      </c>
      <c r="AC31" s="52" t="s">
        <v>199</v>
      </c>
      <c r="AD31" s="55" t="s">
        <v>353</v>
      </c>
      <c r="AE31" s="55" t="s">
        <v>142</v>
      </c>
      <c r="AF31" s="55" t="s">
        <v>146</v>
      </c>
      <c r="AG31" s="55" t="s">
        <v>142</v>
      </c>
      <c r="AH31" s="209">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15" t="s">
        <v>182</v>
      </c>
      <c r="AP31" s="68"/>
      <c r="AQ31" s="64" t="e">
        <f>WEEKDAY([17]!Sheet_1_Table_1_13[[#This Row],[Lesson 2
Date 
(DD-MMM-YYYY)]])</f>
        <v>#REF!</v>
      </c>
      <c r="AR31" s="65"/>
      <c r="AS31" s="66"/>
      <c r="AT31" s="66"/>
      <c r="AU31" s="63"/>
      <c r="AV31" s="64" t="e">
        <f>WEEKDAY([17]!Sheet_1_Table_1_13[[#This Row],[Lesson 3
Date 
(DD-MMM-YYYY)]])</f>
        <v>#REF!</v>
      </c>
      <c r="AW31" s="65"/>
      <c r="AX31" s="66"/>
      <c r="AY31" s="67"/>
      <c r="AZ31" s="68"/>
      <c r="BA31" s="64" t="e">
        <f>WEEKDAY([17]!Sheet_1_Table_1_13[[#This Row],[Lesson 4
Date 
(DD-MMM-YYYY)]])</f>
        <v>#REF!</v>
      </c>
      <c r="BB31" s="65"/>
      <c r="BC31" s="66"/>
      <c r="BD31" s="66"/>
      <c r="BE31" s="63"/>
      <c r="BF31" s="64" t="e">
        <f>WEEKDAY([17]!Sheet_1_Table_1_13[[#This Row],[Lesson 5
Date 
(DD-MMM-YYYY)]])</f>
        <v>#REF!</v>
      </c>
      <c r="BG31" s="65"/>
      <c r="BH31" s="66"/>
      <c r="BI31" s="67"/>
      <c r="BJ31" s="68"/>
      <c r="BK31" s="64" t="e">
        <f>WEEKDAY([17]!Sheet_1_Table_1_13[[#This Row],[Lesson 6
Date 
(DD-MMM-YYYY)]])</f>
        <v>#REF!</v>
      </c>
      <c r="BL31" s="65"/>
      <c r="BM31" s="66"/>
      <c r="BN31" s="66"/>
      <c r="BO31" s="54"/>
      <c r="BP31" s="69"/>
      <c r="BQ31" s="69"/>
      <c r="BR31" s="57"/>
      <c r="BS31" s="52"/>
      <c r="BT31" s="56"/>
      <c r="BU31" s="56"/>
      <c r="BV31" s="70"/>
      <c r="BW31" s="60"/>
      <c r="BX31" s="71"/>
      <c r="BY31" s="56" t="s">
        <v>184</v>
      </c>
      <c r="BZ31" s="56"/>
      <c r="CA31" s="55" t="s">
        <v>1638</v>
      </c>
      <c r="CB31" s="72"/>
      <c r="CC31" s="72"/>
      <c r="CD31" s="71"/>
      <c r="CE31" s="478" t="s">
        <v>1736</v>
      </c>
      <c r="CF31" s="474" t="s">
        <v>1737</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1738</v>
      </c>
      <c r="D32" s="50" t="s">
        <v>204</v>
      </c>
      <c r="E32" s="51">
        <v>5868</v>
      </c>
      <c r="F32" s="471" t="s">
        <v>1694</v>
      </c>
      <c r="G32" s="472" t="s">
        <v>1617</v>
      </c>
      <c r="H32" s="199" t="s">
        <v>1695</v>
      </c>
      <c r="I32" s="207" t="s">
        <v>1696</v>
      </c>
      <c r="J32" s="60" t="s">
        <v>1739</v>
      </c>
      <c r="K32" s="55" t="s">
        <v>1740</v>
      </c>
      <c r="L32" s="55"/>
      <c r="M32" s="56" t="s">
        <v>1741</v>
      </c>
      <c r="N32" s="57" t="s">
        <v>1742</v>
      </c>
      <c r="O32" s="78" t="s">
        <v>146</v>
      </c>
      <c r="P32" s="59" t="s">
        <v>146</v>
      </c>
      <c r="Q32" s="60" t="s">
        <v>1495</v>
      </c>
      <c r="R32" s="61" t="s">
        <v>1496</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9">
        <v>3</v>
      </c>
      <c r="AI32" s="55">
        <v>20</v>
      </c>
      <c r="AJ32" s="62">
        <f>SUM(Sheet_1_Table_1_136[[#This Row],[ILP Units Per Session]]*Sheet_1_Table_1_136[[#This Row],[Quota]])</f>
        <v>60</v>
      </c>
      <c r="AK32" s="184">
        <v>46330</v>
      </c>
      <c r="AL32" s="64" t="str">
        <f>TEXT(Sheet_1_Table_1_136[[#This Row],[Lesson 1 
Date 
(DD-MMM-YYYY)]], "ddd")</f>
        <v>Wed</v>
      </c>
      <c r="AM32" s="65">
        <v>0.72916666666666663</v>
      </c>
      <c r="AN32" s="66">
        <v>0.85416666666666663</v>
      </c>
      <c r="AO32" s="67" t="s">
        <v>1709</v>
      </c>
      <c r="AP32" s="68"/>
      <c r="AQ32" s="64" t="e">
        <f>WEEKDAY([17]!Sheet_1_Table_1_13[[#This Row],[Lesson 2
Date 
(DD-MMM-YYYY)]])</f>
        <v>#REF!</v>
      </c>
      <c r="AR32" s="65"/>
      <c r="AS32" s="66"/>
      <c r="AT32" s="66"/>
      <c r="AU32" s="63"/>
      <c r="AV32" s="165" t="e">
        <f>WEEKDAY([17]!Sheet_1_Table_1_13[[#This Row],[Lesson 3
Date 
(DD-MMM-YYYY)]])</f>
        <v>#REF!</v>
      </c>
      <c r="AW32" s="65"/>
      <c r="AX32" s="66"/>
      <c r="AY32" s="67"/>
      <c r="AZ32" s="68"/>
      <c r="BA32" s="64" t="e">
        <f>WEEKDAY([17]!Sheet_1_Table_1_13[[#This Row],[Lesson 4
Date 
(DD-MMM-YYYY)]])</f>
        <v>#REF!</v>
      </c>
      <c r="BB32" s="65"/>
      <c r="BC32" s="66"/>
      <c r="BD32" s="66"/>
      <c r="BE32" s="63"/>
      <c r="BF32" s="165" t="e">
        <f>WEEKDAY([17]!Sheet_1_Table_1_13[[#This Row],[Lesson 5
Date 
(DD-MMM-YYYY)]])</f>
        <v>#REF!</v>
      </c>
      <c r="BG32" s="65"/>
      <c r="BH32" s="66"/>
      <c r="BI32" s="67"/>
      <c r="BJ32" s="68"/>
      <c r="BK32" s="165" t="e">
        <f>WEEKDAY([17]!Sheet_1_Table_1_13[[#This Row],[Lesson 6
Date 
(DD-MMM-YYYY)]])</f>
        <v>#REF!</v>
      </c>
      <c r="BL32" s="65"/>
      <c r="BM32" s="66"/>
      <c r="BN32" s="66"/>
      <c r="BO32" s="54"/>
      <c r="BP32" s="69"/>
      <c r="BQ32" s="69"/>
      <c r="BR32" s="57"/>
      <c r="BS32" s="52"/>
      <c r="BT32" s="56"/>
      <c r="BU32" s="56"/>
      <c r="BV32" s="70"/>
      <c r="BW32" s="60"/>
      <c r="BX32" s="71"/>
      <c r="BY32" s="56"/>
      <c r="BZ32" s="56"/>
      <c r="CA32" s="55" t="s">
        <v>1638</v>
      </c>
      <c r="CB32" s="72"/>
      <c r="CC32" s="72"/>
      <c r="CD32" s="71"/>
      <c r="CE32" s="473" t="s">
        <v>1724</v>
      </c>
      <c r="CF32" s="164" t="s">
        <v>1725</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1743</v>
      </c>
      <c r="D33" s="50" t="s">
        <v>133</v>
      </c>
      <c r="E33" s="51">
        <v>5875</v>
      </c>
      <c r="F33" s="52" t="s">
        <v>1744</v>
      </c>
      <c r="G33" s="53" t="s">
        <v>1617</v>
      </c>
      <c r="H33" s="199" t="s">
        <v>1745</v>
      </c>
      <c r="I33" s="207" t="s">
        <v>1746</v>
      </c>
      <c r="J33" s="54" t="s">
        <v>1747</v>
      </c>
      <c r="K33" s="55" t="s">
        <v>1748</v>
      </c>
      <c r="L33" s="55"/>
      <c r="M33" s="56" t="s">
        <v>1749</v>
      </c>
      <c r="N33" s="57" t="s">
        <v>1750</v>
      </c>
      <c r="O33" s="58" t="s">
        <v>142</v>
      </c>
      <c r="P33" s="59" t="s">
        <v>142</v>
      </c>
      <c r="Q33" s="60" t="s">
        <v>1495</v>
      </c>
      <c r="R33" s="61" t="s">
        <v>1496</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84">
        <v>46258</v>
      </c>
      <c r="AL33" s="64" t="str">
        <f>TEXT(Sheet_1_Table_1_136[[#This Row],[Lesson 1 
Date 
(DD-MMM-YYYY)]], "ddd")</f>
        <v>Mon</v>
      </c>
      <c r="AM33" s="65">
        <v>0.83333333333333337</v>
      </c>
      <c r="AN33" s="66">
        <v>0.89583333333333337</v>
      </c>
      <c r="AO33" s="67" t="s">
        <v>458</v>
      </c>
      <c r="AP33" s="68"/>
      <c r="AQ33" s="64" t="e">
        <f>WEEKDAY([18]!Sheet_1_Table_1_13[[#This Row],[Lesson 2
Date 
(DD-MMM-YYYY)]])</f>
        <v>#REF!</v>
      </c>
      <c r="AR33" s="65"/>
      <c r="AS33" s="66"/>
      <c r="AT33" s="66"/>
      <c r="AU33" s="63"/>
      <c r="AV33" s="64" t="e">
        <f>WEEKDAY([18]!Sheet_1_Table_1_13[[#This Row],[Lesson 3
Date 
(DD-MMM-YYYY)]])</f>
        <v>#REF!</v>
      </c>
      <c r="AW33" s="65"/>
      <c r="AX33" s="66"/>
      <c r="AY33" s="67"/>
      <c r="AZ33" s="68"/>
      <c r="BA33" s="64" t="e">
        <f>WEEKDAY([18]!Sheet_1_Table_1_13[[#This Row],[Lesson 4
Date 
(DD-MMM-YYYY)]])</f>
        <v>#REF!</v>
      </c>
      <c r="BB33" s="65"/>
      <c r="BC33" s="66"/>
      <c r="BD33" s="66"/>
      <c r="BE33" s="63"/>
      <c r="BF33" s="64" t="e">
        <f>WEEKDAY([18]!Sheet_1_Table_1_13[[#This Row],[Lesson 5
Date 
(DD-MMM-YYYY)]])</f>
        <v>#REF!</v>
      </c>
      <c r="BG33" s="65"/>
      <c r="BH33" s="66"/>
      <c r="BI33" s="67"/>
      <c r="BJ33" s="68"/>
      <c r="BK33" s="64" t="e">
        <f>WEEKDAY([18]!Sheet_1_Table_1_13[[#This Row],[Lesson 6
Date 
(DD-MMM-YYYY)]])</f>
        <v>#REF!</v>
      </c>
      <c r="BL33" s="65"/>
      <c r="BM33" s="66"/>
      <c r="BN33" s="66"/>
      <c r="BO33" s="54" t="s">
        <v>1498</v>
      </c>
      <c r="BP33" s="55" t="s">
        <v>1751</v>
      </c>
      <c r="BQ33" s="55" t="s">
        <v>165</v>
      </c>
      <c r="BR33" s="53" t="s">
        <v>1752</v>
      </c>
      <c r="BS33" s="52"/>
      <c r="BT33" s="56"/>
      <c r="BU33" s="56"/>
      <c r="BV33" s="70"/>
      <c r="BW33" s="60"/>
      <c r="BX33" s="71"/>
      <c r="BY33" s="56"/>
      <c r="BZ33" s="56"/>
      <c r="CA33" s="56" t="s">
        <v>149</v>
      </c>
      <c r="CB33" s="72"/>
      <c r="CC33" s="72"/>
      <c r="CD33" s="71"/>
      <c r="CE33" s="54" t="s">
        <v>1753</v>
      </c>
      <c r="CF33" s="480" t="s">
        <v>1754</v>
      </c>
      <c r="CG33" s="55" t="s">
        <v>1753</v>
      </c>
      <c r="CH33" s="481" t="s">
        <v>1754</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1755</v>
      </c>
      <c r="D34" s="50" t="s">
        <v>1756</v>
      </c>
      <c r="E34" s="206">
        <v>5887</v>
      </c>
      <c r="F34" s="52" t="s">
        <v>1744</v>
      </c>
      <c r="G34" s="53" t="s">
        <v>1617</v>
      </c>
      <c r="H34" s="199" t="s">
        <v>1745</v>
      </c>
      <c r="I34" s="207" t="s">
        <v>1746</v>
      </c>
      <c r="J34" s="216" t="s">
        <v>1757</v>
      </c>
      <c r="K34" s="55" t="s">
        <v>1758</v>
      </c>
      <c r="L34" s="55"/>
      <c r="M34" s="56" t="s">
        <v>1759</v>
      </c>
      <c r="N34" s="219" t="s">
        <v>1760</v>
      </c>
      <c r="O34" s="58" t="s">
        <v>146</v>
      </c>
      <c r="P34" s="460" t="s">
        <v>146</v>
      </c>
      <c r="Q34" s="60" t="s">
        <v>1495</v>
      </c>
      <c r="R34" s="61" t="s">
        <v>1496</v>
      </c>
      <c r="S34" s="55">
        <v>0</v>
      </c>
      <c r="T34" s="55">
        <v>0</v>
      </c>
      <c r="U34" s="55">
        <v>0</v>
      </c>
      <c r="V34" s="55">
        <v>100</v>
      </c>
      <c r="W34" s="55">
        <v>0</v>
      </c>
      <c r="X34" s="55">
        <v>0</v>
      </c>
      <c r="Y34" s="55">
        <v>0</v>
      </c>
      <c r="Z34" s="55">
        <v>0</v>
      </c>
      <c r="AA34" s="55">
        <v>0</v>
      </c>
      <c r="AB34" s="53">
        <v>100</v>
      </c>
      <c r="AC34" s="52" t="s">
        <v>199</v>
      </c>
      <c r="AD34" s="209" t="s">
        <v>190</v>
      </c>
      <c r="AE34" s="209" t="s">
        <v>142</v>
      </c>
      <c r="AF34" s="209" t="s">
        <v>146</v>
      </c>
      <c r="AG34" s="209" t="s">
        <v>142</v>
      </c>
      <c r="AH34" s="482">
        <v>4</v>
      </c>
      <c r="AI34" s="55">
        <v>40</v>
      </c>
      <c r="AJ34" s="62">
        <f>SUM(Sheet_1_Table_1_136[[#This Row],[ILP Units Per Session]]*Sheet_1_Table_1_136[[#This Row],[Quota]])</f>
        <v>160</v>
      </c>
      <c r="AK34" s="211">
        <v>46303</v>
      </c>
      <c r="AL34" s="64" t="str">
        <f>TEXT(Sheet_1_Table_1_136[[#This Row],[Lesson 1 
Date 
(DD-MMM-YYYY)]], "ddd")</f>
        <v>Thu</v>
      </c>
      <c r="AM34" s="65">
        <v>0.83333333333333337</v>
      </c>
      <c r="AN34" s="213">
        <v>0.91666666666666663</v>
      </c>
      <c r="AO34" s="215" t="s">
        <v>1508</v>
      </c>
      <c r="AP34" s="68">
        <v>46310</v>
      </c>
      <c r="AQ34" s="64" t="e">
        <f>WEEKDAY([18]!Sheet_1_Table_1_13[[#This Row],[Lesson 2
Date 
(DD-MMM-YYYY)]])</f>
        <v>#REF!</v>
      </c>
      <c r="AR34" s="65">
        <v>0.83333333333333337</v>
      </c>
      <c r="AS34" s="213">
        <v>0.91666666666666663</v>
      </c>
      <c r="AT34" s="215" t="s">
        <v>1508</v>
      </c>
      <c r="AU34" s="211"/>
      <c r="AV34" s="165" t="e">
        <f>WEEKDAY([18]!Sheet_1_Table_1_13[[#This Row],[Lesson 3
Date 
(DD-MMM-YYYY)]])</f>
        <v>#REF!</v>
      </c>
      <c r="AW34" s="212"/>
      <c r="AX34" s="213"/>
      <c r="AY34" s="215"/>
      <c r="AZ34" s="68"/>
      <c r="BA34" s="64" t="e">
        <f>WEEKDAY([18]!Sheet_1_Table_1_13[[#This Row],[Lesson 4
Date 
(DD-MMM-YYYY)]])</f>
        <v>#REF!</v>
      </c>
      <c r="BB34" s="65"/>
      <c r="BC34" s="66"/>
      <c r="BD34" s="66"/>
      <c r="BE34" s="211"/>
      <c r="BF34" s="165" t="e">
        <f>WEEKDAY([18]!Sheet_1_Table_1_13[[#This Row],[Lesson 5
Date 
(DD-MMM-YYYY)]])</f>
        <v>#REF!</v>
      </c>
      <c r="BG34" s="212"/>
      <c r="BH34" s="213"/>
      <c r="BI34" s="215"/>
      <c r="BJ34" s="68"/>
      <c r="BK34" s="165" t="e">
        <f>WEEKDAY([18]!Sheet_1_Table_1_13[[#This Row],[Lesson 6
Date 
(DD-MMM-YYYY)]])</f>
        <v>#REF!</v>
      </c>
      <c r="BL34" s="212"/>
      <c r="BM34" s="213"/>
      <c r="BN34" s="213"/>
      <c r="BO34" s="216" t="s">
        <v>163</v>
      </c>
      <c r="BP34" s="209" t="s">
        <v>1761</v>
      </c>
      <c r="BQ34" s="209" t="s">
        <v>1762</v>
      </c>
      <c r="BR34" s="483" t="s">
        <v>1763</v>
      </c>
      <c r="BS34" s="52"/>
      <c r="BT34" s="217"/>
      <c r="BU34" s="209"/>
      <c r="BV34" s="70"/>
      <c r="BW34" s="176">
        <v>100</v>
      </c>
      <c r="BX34" s="71"/>
      <c r="BY34" s="218" t="s">
        <v>149</v>
      </c>
      <c r="BZ34" s="218"/>
      <c r="CA34" s="218" t="s">
        <v>1638</v>
      </c>
      <c r="CB34" s="220"/>
      <c r="CC34" s="220"/>
      <c r="CD34" s="221"/>
      <c r="CE34" s="216" t="s">
        <v>1764</v>
      </c>
      <c r="CF34" s="484" t="s">
        <v>1765</v>
      </c>
      <c r="CG34" s="55" t="s">
        <v>1753</v>
      </c>
      <c r="CH34" s="481" t="s">
        <v>1754</v>
      </c>
      <c r="CI34" s="223"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205">
        <v>451</v>
      </c>
      <c r="D35" s="205" t="s">
        <v>1766</v>
      </c>
      <c r="E35" s="206">
        <v>5889</v>
      </c>
      <c r="F35" s="52" t="s">
        <v>1744</v>
      </c>
      <c r="G35" s="53" t="s">
        <v>1617</v>
      </c>
      <c r="H35" s="199" t="s">
        <v>1745</v>
      </c>
      <c r="I35" s="207" t="s">
        <v>1746</v>
      </c>
      <c r="J35" s="216" t="s">
        <v>1767</v>
      </c>
      <c r="K35" s="55" t="s">
        <v>1768</v>
      </c>
      <c r="L35" s="55"/>
      <c r="M35" s="56" t="s">
        <v>1769</v>
      </c>
      <c r="N35" s="219" t="s">
        <v>1770</v>
      </c>
      <c r="O35" s="58" t="s">
        <v>146</v>
      </c>
      <c r="P35" s="460" t="s">
        <v>146</v>
      </c>
      <c r="Q35" s="60" t="s">
        <v>1495</v>
      </c>
      <c r="R35" s="61" t="s">
        <v>1496</v>
      </c>
      <c r="S35" s="55">
        <v>0</v>
      </c>
      <c r="T35" s="55">
        <v>0</v>
      </c>
      <c r="U35" s="55">
        <v>50</v>
      </c>
      <c r="V35" s="55">
        <v>50</v>
      </c>
      <c r="W35" s="55">
        <v>0</v>
      </c>
      <c r="X35" s="55">
        <v>0</v>
      </c>
      <c r="Y35" s="55">
        <v>0</v>
      </c>
      <c r="Z35" s="55">
        <v>0</v>
      </c>
      <c r="AA35" s="55">
        <v>0</v>
      </c>
      <c r="AB35" s="53">
        <v>100</v>
      </c>
      <c r="AC35" s="52" t="s">
        <v>199</v>
      </c>
      <c r="AD35" s="209" t="s">
        <v>190</v>
      </c>
      <c r="AE35" s="209" t="s">
        <v>146</v>
      </c>
      <c r="AF35" s="209" t="s">
        <v>146</v>
      </c>
      <c r="AG35" s="209" t="s">
        <v>146</v>
      </c>
      <c r="AH35" s="482">
        <v>4</v>
      </c>
      <c r="AI35" s="55">
        <v>20</v>
      </c>
      <c r="AJ35" s="62">
        <f>SUM(Sheet_1_Table_1_136[[#This Row],[ILP Units Per Session]]*Sheet_1_Table_1_136[[#This Row],[Quota]])</f>
        <v>80</v>
      </c>
      <c r="AK35" s="211">
        <v>46315</v>
      </c>
      <c r="AL35" s="64" t="str">
        <f>TEXT(Sheet_1_Table_1_136[[#This Row],[Lesson 1 
Date 
(DD-MMM-YYYY)]], "ddd")</f>
        <v>Tue</v>
      </c>
      <c r="AM35" s="65">
        <v>0.8125</v>
      </c>
      <c r="AN35" s="213">
        <v>0.89583333333333337</v>
      </c>
      <c r="AO35" s="215" t="s">
        <v>1771</v>
      </c>
      <c r="AP35" s="68">
        <v>46322</v>
      </c>
      <c r="AQ35" s="64" t="e">
        <f>WEEKDAY([18]!Sheet_1_Table_1_13[[#This Row],[Lesson 2
Date 
(DD-MMM-YYYY)]])</f>
        <v>#REF!</v>
      </c>
      <c r="AR35" s="65">
        <v>0.8125</v>
      </c>
      <c r="AS35" s="213">
        <v>0.89583333333333337</v>
      </c>
      <c r="AT35" s="215" t="s">
        <v>1771</v>
      </c>
      <c r="AU35" s="211"/>
      <c r="AV35" s="165" t="e">
        <f>WEEKDAY([18]!Sheet_1_Table_1_13[[#This Row],[Lesson 3
Date 
(DD-MMM-YYYY)]])</f>
        <v>#REF!</v>
      </c>
      <c r="AW35" s="212"/>
      <c r="AX35" s="213"/>
      <c r="AY35" s="215"/>
      <c r="AZ35" s="68"/>
      <c r="BA35" s="64" t="e">
        <f>WEEKDAY([18]!Sheet_1_Table_1_13[[#This Row],[Lesson 4
Date 
(DD-MMM-YYYY)]])</f>
        <v>#REF!</v>
      </c>
      <c r="BB35" s="65"/>
      <c r="BC35" s="66"/>
      <c r="BD35" s="66"/>
      <c r="BE35" s="211"/>
      <c r="BF35" s="165" t="e">
        <f>WEEKDAY([18]!Sheet_1_Table_1_13[[#This Row],[Lesson 5
Date 
(DD-MMM-YYYY)]])</f>
        <v>#REF!</v>
      </c>
      <c r="BG35" s="212"/>
      <c r="BH35" s="213"/>
      <c r="BI35" s="215"/>
      <c r="BJ35" s="68"/>
      <c r="BK35" s="165" t="e">
        <f>WEEKDAY([18]!Sheet_1_Table_1_13[[#This Row],[Lesson 6
Date 
(DD-MMM-YYYY)]])</f>
        <v>#REF!</v>
      </c>
      <c r="BL35" s="212"/>
      <c r="BM35" s="213"/>
      <c r="BN35" s="213"/>
      <c r="BO35" s="216" t="s">
        <v>291</v>
      </c>
      <c r="BP35" s="209" t="s">
        <v>1772</v>
      </c>
      <c r="BQ35" s="209" t="s">
        <v>1773</v>
      </c>
      <c r="BR35" s="599" t="s">
        <v>1774</v>
      </c>
      <c r="BS35" s="52"/>
      <c r="BT35" s="217"/>
      <c r="BU35" s="209"/>
      <c r="BV35" s="70"/>
      <c r="BW35" s="176">
        <v>100</v>
      </c>
      <c r="BX35" s="71"/>
      <c r="BY35" s="218" t="s">
        <v>149</v>
      </c>
      <c r="BZ35" s="218"/>
      <c r="CA35" s="218" t="s">
        <v>1638</v>
      </c>
      <c r="CB35" s="220"/>
      <c r="CC35" s="220"/>
      <c r="CD35" s="221"/>
      <c r="CE35" s="216" t="s">
        <v>1764</v>
      </c>
      <c r="CF35" s="484" t="s">
        <v>1765</v>
      </c>
      <c r="CG35" s="55" t="s">
        <v>1753</v>
      </c>
      <c r="CH35" s="481" t="s">
        <v>1754</v>
      </c>
      <c r="CI35" s="223"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85" t="s">
        <v>1775</v>
      </c>
      <c r="D36" s="50" t="s">
        <v>133</v>
      </c>
      <c r="E36" s="51">
        <v>5940</v>
      </c>
      <c r="F36" s="486" t="s">
        <v>1776</v>
      </c>
      <c r="G36" s="53" t="s">
        <v>1617</v>
      </c>
      <c r="H36" s="80" t="s">
        <v>1777</v>
      </c>
      <c r="I36" s="300" t="s">
        <v>1778</v>
      </c>
      <c r="J36" s="461"/>
      <c r="K36" s="457" t="s">
        <v>1779</v>
      </c>
      <c r="L36" s="55"/>
      <c r="M36" s="487" t="s">
        <v>1780</v>
      </c>
      <c r="N36" s="488" t="s">
        <v>1781</v>
      </c>
      <c r="O36" s="457" t="s">
        <v>142</v>
      </c>
      <c r="P36" s="470" t="s">
        <v>142</v>
      </c>
      <c r="Q36" s="60" t="s">
        <v>1495</v>
      </c>
      <c r="R36" s="77" t="str">
        <f>VLOOKUP(Sheet_1_Table_1_136[[#This Row],[Learning Domain]],[19]List!$A$7:$B$12,2,0)</f>
        <v>RE</v>
      </c>
      <c r="S36" s="457">
        <v>50</v>
      </c>
      <c r="T36" s="457">
        <v>0</v>
      </c>
      <c r="U36" s="457">
        <v>0</v>
      </c>
      <c r="V36" s="457">
        <v>0</v>
      </c>
      <c r="W36" s="457">
        <v>0</v>
      </c>
      <c r="X36" s="457">
        <v>0</v>
      </c>
      <c r="Y36" s="457">
        <v>50</v>
      </c>
      <c r="Z36" s="457">
        <v>0</v>
      </c>
      <c r="AA36" s="457">
        <v>0</v>
      </c>
      <c r="AB36" s="489">
        <v>100</v>
      </c>
      <c r="AC36" s="469" t="s">
        <v>144</v>
      </c>
      <c r="AD36" s="457" t="s">
        <v>190</v>
      </c>
      <c r="AE36" s="457" t="s">
        <v>142</v>
      </c>
      <c r="AF36" s="457" t="s">
        <v>146</v>
      </c>
      <c r="AG36" s="457" t="s">
        <v>142</v>
      </c>
      <c r="AH36" s="457">
        <v>1</v>
      </c>
      <c r="AI36" s="457">
        <v>120</v>
      </c>
      <c r="AJ36" s="62">
        <f>SUM(Sheet_1_Table_1_136[[#This Row],[ILP Units Per Session]]*Sheet_1_Table_1_136[[#This Row],[Quota]])</f>
        <v>120</v>
      </c>
      <c r="AK36" s="490">
        <v>46258</v>
      </c>
      <c r="AL36" s="64" t="str">
        <f>TEXT(Sheet_1_Table_1_136[[#This Row],[Lesson 1 
Date 
(DD-MMM-YYYY)]], "ddd")</f>
        <v>Mon</v>
      </c>
      <c r="AM36" s="463">
        <v>0.83333333333333337</v>
      </c>
      <c r="AN36" s="464">
        <v>0.89583333333333304</v>
      </c>
      <c r="AO36" s="491" t="s">
        <v>1782</v>
      </c>
      <c r="AP36" s="492"/>
      <c r="AQ36" s="493" t="e">
        <f>WEEKDAY([20]!Sheet_1_Table_1_13[[#This Row],[Lesson 2
Date 
(DD-MMM-YYYY)]])</f>
        <v>#REF!</v>
      </c>
      <c r="AR36" s="463"/>
      <c r="AS36" s="464"/>
      <c r="AT36" s="464"/>
      <c r="AU36" s="490"/>
      <c r="AV36" s="493" t="e">
        <f>WEEKDAY([20]!Sheet_1_Table_1_13[[#This Row],[Lesson 3
Date 
(DD-MMM-YYYY)]])</f>
        <v>#REF!</v>
      </c>
      <c r="AW36" s="463"/>
      <c r="AX36" s="464"/>
      <c r="AY36" s="494"/>
      <c r="AZ36" s="492"/>
      <c r="BA36" s="493" t="e">
        <f>WEEKDAY([20]!Sheet_1_Table_1_13[[#This Row],[Lesson 4
Date 
(DD-MMM-YYYY)]])</f>
        <v>#REF!</v>
      </c>
      <c r="BB36" s="463"/>
      <c r="BC36" s="464"/>
      <c r="BD36" s="464"/>
      <c r="BE36" s="490"/>
      <c r="BF36" s="493" t="e">
        <f>WEEKDAY([20]!Sheet_1_Table_1_13[[#This Row],[Lesson 5
Date 
(DD-MMM-YYYY)]])</f>
        <v>#REF!</v>
      </c>
      <c r="BG36" s="463"/>
      <c r="BH36" s="464"/>
      <c r="BI36" s="494"/>
      <c r="BJ36" s="492"/>
      <c r="BK36" s="493" t="e">
        <f>WEEKDAY([20]!Sheet_1_Table_1_13[[#This Row],[Lesson 6
Date 
(DD-MMM-YYYY)]])</f>
        <v>#REF!</v>
      </c>
      <c r="BL36" s="463"/>
      <c r="BM36" s="464"/>
      <c r="BN36" s="464"/>
      <c r="BO36" s="465" t="s">
        <v>291</v>
      </c>
      <c r="BP36" s="466" t="s">
        <v>1783</v>
      </c>
      <c r="BQ36" s="457" t="s">
        <v>1784</v>
      </c>
      <c r="BR36" s="458" t="s">
        <v>1785</v>
      </c>
      <c r="BS36" s="469" t="s">
        <v>163</v>
      </c>
      <c r="BT36" s="462" t="s">
        <v>1786</v>
      </c>
      <c r="BU36" s="462" t="s">
        <v>1787</v>
      </c>
      <c r="BV36" s="488" t="s">
        <v>1788</v>
      </c>
      <c r="BW36" s="461"/>
      <c r="BX36" s="495"/>
      <c r="BY36" s="462" t="s">
        <v>149</v>
      </c>
      <c r="BZ36" s="462"/>
      <c r="CA36" s="462" t="s">
        <v>149</v>
      </c>
      <c r="CB36" s="496"/>
      <c r="CC36" s="496"/>
      <c r="CD36" s="495"/>
      <c r="CE36" s="461" t="s">
        <v>1789</v>
      </c>
      <c r="CF36" s="497" t="s">
        <v>1790</v>
      </c>
      <c r="CG36" s="462"/>
      <c r="CH36" s="458"/>
      <c r="CI36" s="469" t="s">
        <v>146</v>
      </c>
      <c r="CJ36" s="469" t="s">
        <v>142</v>
      </c>
      <c r="CK36" s="469" t="s">
        <v>142</v>
      </c>
      <c r="CL36" s="469" t="s">
        <v>142</v>
      </c>
      <c r="CM36" s="469" t="s">
        <v>146</v>
      </c>
      <c r="CN36" s="469" t="s">
        <v>142</v>
      </c>
      <c r="CO36" s="469" t="s">
        <v>142</v>
      </c>
      <c r="CP36" s="469" t="s">
        <v>142</v>
      </c>
      <c r="CQ36" s="469" t="s">
        <v>142</v>
      </c>
      <c r="CR36" s="469" t="s">
        <v>142</v>
      </c>
      <c r="CS36" s="469" t="s">
        <v>142</v>
      </c>
      <c r="CT36" s="469" t="s">
        <v>142</v>
      </c>
      <c r="CU36" s="469" t="s">
        <v>142</v>
      </c>
      <c r="CV36" s="469" t="s">
        <v>142</v>
      </c>
      <c r="CW36" s="469" t="s">
        <v>142</v>
      </c>
      <c r="CX36" s="469" t="s">
        <v>142</v>
      </c>
      <c r="CY36" s="469" t="s">
        <v>146</v>
      </c>
      <c r="CZ36" s="470" t="s">
        <v>146</v>
      </c>
      <c r="DA36" s="465" t="s">
        <v>154</v>
      </c>
      <c r="DB36" s="50" t="s">
        <v>155</v>
      </c>
      <c r="DC36" s="50" t="s">
        <v>156</v>
      </c>
      <c r="DD36" s="50" t="s">
        <v>146</v>
      </c>
      <c r="DE36" s="50" t="s">
        <v>157</v>
      </c>
      <c r="DF36" s="50" t="s">
        <v>146</v>
      </c>
      <c r="DG36" s="73"/>
      <c r="DH36" s="73"/>
      <c r="DI36" s="498"/>
      <c r="DJ36" s="499"/>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205" t="s">
        <v>1791</v>
      </c>
      <c r="D37" s="205" t="s">
        <v>250</v>
      </c>
      <c r="E37" s="206">
        <v>5941</v>
      </c>
      <c r="F37" s="486" t="s">
        <v>1776</v>
      </c>
      <c r="G37" s="53" t="s">
        <v>1617</v>
      </c>
      <c r="H37" s="80" t="s">
        <v>1777</v>
      </c>
      <c r="I37" s="300" t="s">
        <v>1778</v>
      </c>
      <c r="J37" s="467"/>
      <c r="K37" s="500" t="s">
        <v>1792</v>
      </c>
      <c r="L37" s="55"/>
      <c r="M37" s="487" t="s">
        <v>1793</v>
      </c>
      <c r="N37" s="501" t="s">
        <v>1794</v>
      </c>
      <c r="O37" s="457" t="s">
        <v>146</v>
      </c>
      <c r="P37" s="470" t="s">
        <v>146</v>
      </c>
      <c r="Q37" s="60" t="s">
        <v>1495</v>
      </c>
      <c r="R37" s="61" t="str">
        <f>VLOOKUP(Sheet_1_Table_1_136[[#This Row],[Learning Domain]],[19]List!$A$7:$B$12,2,0)</f>
        <v>RE</v>
      </c>
      <c r="S37" s="457">
        <v>50</v>
      </c>
      <c r="T37" s="457">
        <v>0</v>
      </c>
      <c r="U37" s="457">
        <v>0</v>
      </c>
      <c r="V37" s="457">
        <v>0</v>
      </c>
      <c r="W37" s="457">
        <v>25</v>
      </c>
      <c r="X37" s="457">
        <v>25</v>
      </c>
      <c r="Y37" s="457">
        <v>0</v>
      </c>
      <c r="Z37" s="457">
        <v>0</v>
      </c>
      <c r="AA37" s="457">
        <v>0</v>
      </c>
      <c r="AB37" s="489">
        <v>100</v>
      </c>
      <c r="AC37" s="469" t="s">
        <v>144</v>
      </c>
      <c r="AD37" s="457" t="s">
        <v>190</v>
      </c>
      <c r="AE37" s="502" t="s">
        <v>146</v>
      </c>
      <c r="AF37" s="502" t="s">
        <v>142</v>
      </c>
      <c r="AG37" s="502" t="s">
        <v>146</v>
      </c>
      <c r="AH37" s="457">
        <v>1.5</v>
      </c>
      <c r="AI37" s="457">
        <v>30</v>
      </c>
      <c r="AJ37" s="62">
        <f>SUM(Sheet_1_Table_1_136[[#This Row],[ILP Units Per Session]]*Sheet_1_Table_1_136[[#This Row],[Quota]])</f>
        <v>45</v>
      </c>
      <c r="AK37" s="503">
        <v>46283</v>
      </c>
      <c r="AL37" s="64" t="str">
        <f>TEXT(Sheet_1_Table_1_136[[#This Row],[Lesson 1 
Date 
(DD-MMM-YYYY)]], "ddd")</f>
        <v>Fri</v>
      </c>
      <c r="AM37" s="504">
        <v>0.8125</v>
      </c>
      <c r="AN37" s="505">
        <v>0.875</v>
      </c>
      <c r="AO37" s="506" t="s">
        <v>1795</v>
      </c>
      <c r="AP37" s="492"/>
      <c r="AQ37" s="493" t="e">
        <f>WEEKDAY([20]!Sheet_1_Table_1_13[[#This Row],[Lesson 2
Date 
(DD-MMM-YYYY)]])</f>
        <v>#REF!</v>
      </c>
      <c r="AR37" s="463"/>
      <c r="AS37" s="464"/>
      <c r="AT37" s="464"/>
      <c r="AU37" s="503"/>
      <c r="AV37" s="507" t="e">
        <f>WEEKDAY([20]!Sheet_1_Table_1_13[[#This Row],[Lesson 3
Date 
(DD-MMM-YYYY)]])</f>
        <v>#REF!</v>
      </c>
      <c r="AW37" s="504"/>
      <c r="AX37" s="505"/>
      <c r="AY37" s="508"/>
      <c r="AZ37" s="492"/>
      <c r="BA37" s="493" t="e">
        <f>WEEKDAY([20]!Sheet_1_Table_1_13[[#This Row],[Lesson 4
Date 
(DD-MMM-YYYY)]])</f>
        <v>#REF!</v>
      </c>
      <c r="BB37" s="463"/>
      <c r="BC37" s="464"/>
      <c r="BD37" s="464"/>
      <c r="BE37" s="503"/>
      <c r="BF37" s="507" t="e">
        <f>WEEKDAY([20]!Sheet_1_Table_1_13[[#This Row],[Lesson 5
Date 
(DD-MMM-YYYY)]])</f>
        <v>#REF!</v>
      </c>
      <c r="BG37" s="504"/>
      <c r="BH37" s="505"/>
      <c r="BI37" s="508"/>
      <c r="BJ37" s="492"/>
      <c r="BK37" s="507" t="e">
        <f>WEEKDAY([20]!Sheet_1_Table_1_13[[#This Row],[Lesson 6
Date 
(DD-MMM-YYYY)]])</f>
        <v>#REF!</v>
      </c>
      <c r="BL37" s="504"/>
      <c r="BM37" s="505"/>
      <c r="BN37" s="505"/>
      <c r="BO37" s="509" t="s">
        <v>291</v>
      </c>
      <c r="BP37" s="510" t="s">
        <v>1783</v>
      </c>
      <c r="BQ37" s="457" t="s">
        <v>1784</v>
      </c>
      <c r="BR37" s="511" t="s">
        <v>1785</v>
      </c>
      <c r="BS37" s="469" t="s">
        <v>163</v>
      </c>
      <c r="BT37" s="510" t="s">
        <v>1786</v>
      </c>
      <c r="BU37" s="502" t="s">
        <v>1787</v>
      </c>
      <c r="BV37" s="488" t="s">
        <v>1788</v>
      </c>
      <c r="BW37" s="461"/>
      <c r="BX37" s="495"/>
      <c r="BY37" s="512" t="s">
        <v>149</v>
      </c>
      <c r="BZ37" s="512"/>
      <c r="CA37" s="512" t="s">
        <v>1796</v>
      </c>
      <c r="CB37" s="513"/>
      <c r="CC37" s="513"/>
      <c r="CD37" s="514"/>
      <c r="CE37" s="461" t="s">
        <v>1789</v>
      </c>
      <c r="CF37" s="497" t="s">
        <v>1790</v>
      </c>
      <c r="CG37" s="462"/>
      <c r="CH37" s="458"/>
      <c r="CI37" s="515" t="s">
        <v>146</v>
      </c>
      <c r="CJ37" s="469" t="s">
        <v>142</v>
      </c>
      <c r="CK37" s="469" t="s">
        <v>142</v>
      </c>
      <c r="CL37" s="469" t="s">
        <v>142</v>
      </c>
      <c r="CM37" s="469" t="s">
        <v>146</v>
      </c>
      <c r="CN37" s="469" t="s">
        <v>142</v>
      </c>
      <c r="CO37" s="469" t="s">
        <v>142</v>
      </c>
      <c r="CP37" s="469" t="s">
        <v>142</v>
      </c>
      <c r="CQ37" s="469" t="s">
        <v>142</v>
      </c>
      <c r="CR37" s="469" t="s">
        <v>142</v>
      </c>
      <c r="CS37" s="469" t="s">
        <v>142</v>
      </c>
      <c r="CT37" s="469" t="s">
        <v>142</v>
      </c>
      <c r="CU37" s="469" t="s">
        <v>142</v>
      </c>
      <c r="CV37" s="469" t="s">
        <v>142</v>
      </c>
      <c r="CW37" s="469" t="s">
        <v>142</v>
      </c>
      <c r="CX37" s="469" t="s">
        <v>142</v>
      </c>
      <c r="CY37" s="469" t="s">
        <v>146</v>
      </c>
      <c r="CZ37" s="470" t="s">
        <v>146</v>
      </c>
      <c r="DA37" s="465" t="s">
        <v>154</v>
      </c>
      <c r="DB37" s="50" t="s">
        <v>155</v>
      </c>
      <c r="DC37" s="50" t="s">
        <v>156</v>
      </c>
      <c r="DD37" s="50" t="s">
        <v>146</v>
      </c>
      <c r="DE37" s="50" t="s">
        <v>157</v>
      </c>
      <c r="DF37" s="50" t="s">
        <v>146</v>
      </c>
      <c r="DG37" s="224"/>
      <c r="DH37" s="224"/>
      <c r="DI37" s="498"/>
      <c r="DJ37" s="499"/>
      <c r="DK37" s="225"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85" t="s">
        <v>1797</v>
      </c>
      <c r="D38" s="50" t="s">
        <v>174</v>
      </c>
      <c r="E38" s="206">
        <v>5942</v>
      </c>
      <c r="F38" s="486" t="s">
        <v>1776</v>
      </c>
      <c r="G38" s="53" t="s">
        <v>1617</v>
      </c>
      <c r="H38" s="80" t="s">
        <v>1777</v>
      </c>
      <c r="I38" s="300" t="s">
        <v>1778</v>
      </c>
      <c r="J38" s="467"/>
      <c r="K38" s="500" t="s">
        <v>1798</v>
      </c>
      <c r="L38" s="55"/>
      <c r="M38" s="487" t="s">
        <v>1799</v>
      </c>
      <c r="N38" s="501" t="s">
        <v>1800</v>
      </c>
      <c r="O38" s="457" t="s">
        <v>146</v>
      </c>
      <c r="P38" s="470" t="s">
        <v>146</v>
      </c>
      <c r="Q38" s="60" t="s">
        <v>1495</v>
      </c>
      <c r="R38" s="77" t="str">
        <f>VLOOKUP(Sheet_1_Table_1_136[[#This Row],[Learning Domain]],[19]List!$A$7:$B$12,2,0)</f>
        <v>RE</v>
      </c>
      <c r="S38" s="457">
        <v>0</v>
      </c>
      <c r="T38" s="457">
        <v>0</v>
      </c>
      <c r="U38" s="457">
        <v>100</v>
      </c>
      <c r="V38" s="457">
        <v>0</v>
      </c>
      <c r="W38" s="457">
        <v>0</v>
      </c>
      <c r="X38" s="457">
        <v>0</v>
      </c>
      <c r="Y38" s="457">
        <v>0</v>
      </c>
      <c r="Z38" s="457">
        <v>0</v>
      </c>
      <c r="AA38" s="457">
        <v>0</v>
      </c>
      <c r="AB38" s="489">
        <v>100</v>
      </c>
      <c r="AC38" s="469" t="s">
        <v>244</v>
      </c>
      <c r="AD38" s="457" t="s">
        <v>190</v>
      </c>
      <c r="AE38" s="502" t="s">
        <v>142</v>
      </c>
      <c r="AF38" s="502" t="s">
        <v>146</v>
      </c>
      <c r="AG38" s="502" t="s">
        <v>142</v>
      </c>
      <c r="AH38" s="457">
        <v>1.5</v>
      </c>
      <c r="AI38" s="457">
        <v>20</v>
      </c>
      <c r="AJ38" s="62">
        <f>SUM(Sheet_1_Table_1_136[[#This Row],[ILP Units Per Session]]*Sheet_1_Table_1_136[[#This Row],[Quota]])</f>
        <v>30</v>
      </c>
      <c r="AK38" s="503">
        <v>46322</v>
      </c>
      <c r="AL38" s="64" t="str">
        <f>TEXT(Sheet_1_Table_1_136[[#This Row],[Lesson 1 
Date 
(DD-MMM-YYYY)]], "ddd")</f>
        <v>Tue</v>
      </c>
      <c r="AM38" s="504">
        <v>0.60416666666666696</v>
      </c>
      <c r="AN38" s="505">
        <v>0.66666666666666696</v>
      </c>
      <c r="AO38" s="506" t="s">
        <v>1801</v>
      </c>
      <c r="AP38" s="492"/>
      <c r="AQ38" s="493" t="e">
        <f>WEEKDAY([20]!Sheet_1_Table_1_13[[#This Row],[Lesson 2
Date 
(DD-MMM-YYYY)]])</f>
        <v>#REF!</v>
      </c>
      <c r="AR38" s="463"/>
      <c r="AS38" s="464"/>
      <c r="AT38" s="464"/>
      <c r="AU38" s="503"/>
      <c r="AV38" s="507" t="e">
        <f>WEEKDAY([20]!Sheet_1_Table_1_13[[#This Row],[Lesson 3
Date 
(DD-MMM-YYYY)]])</f>
        <v>#REF!</v>
      </c>
      <c r="AW38" s="504"/>
      <c r="AX38" s="505"/>
      <c r="AY38" s="508"/>
      <c r="AZ38" s="492"/>
      <c r="BA38" s="493" t="e">
        <f>WEEKDAY([20]!Sheet_1_Table_1_13[[#This Row],[Lesson 4
Date 
(DD-MMM-YYYY)]])</f>
        <v>#REF!</v>
      </c>
      <c r="BB38" s="463"/>
      <c r="BC38" s="464"/>
      <c r="BD38" s="464"/>
      <c r="BE38" s="503"/>
      <c r="BF38" s="507" t="e">
        <f>WEEKDAY([20]!Sheet_1_Table_1_13[[#This Row],[Lesson 5
Date 
(DD-MMM-YYYY)]])</f>
        <v>#REF!</v>
      </c>
      <c r="BG38" s="504"/>
      <c r="BH38" s="505"/>
      <c r="BI38" s="508"/>
      <c r="BJ38" s="492"/>
      <c r="BK38" s="507" t="e">
        <f>WEEKDAY([20]!Sheet_1_Table_1_13[[#This Row],[Lesson 6
Date 
(DD-MMM-YYYY)]])</f>
        <v>#REF!</v>
      </c>
      <c r="BL38" s="504"/>
      <c r="BM38" s="505"/>
      <c r="BN38" s="505"/>
      <c r="BO38" s="509" t="s">
        <v>291</v>
      </c>
      <c r="BP38" s="510" t="s">
        <v>1802</v>
      </c>
      <c r="BQ38" s="510" t="s">
        <v>697</v>
      </c>
      <c r="BR38" s="511" t="s">
        <v>1803</v>
      </c>
      <c r="BS38" s="469"/>
      <c r="BT38" s="512"/>
      <c r="BU38" s="512"/>
      <c r="BV38" s="488"/>
      <c r="BW38" s="461"/>
      <c r="BX38" s="495"/>
      <c r="BY38" s="512"/>
      <c r="BZ38" s="512"/>
      <c r="CA38" s="512" t="s">
        <v>1638</v>
      </c>
      <c r="CB38" s="513"/>
      <c r="CC38" s="513"/>
      <c r="CD38" s="514"/>
      <c r="CE38" s="461" t="s">
        <v>1789</v>
      </c>
      <c r="CF38" s="497" t="s">
        <v>1790</v>
      </c>
      <c r="CG38" s="462"/>
      <c r="CH38" s="458"/>
      <c r="CI38" s="515" t="s">
        <v>142</v>
      </c>
      <c r="CJ38" s="469" t="s">
        <v>142</v>
      </c>
      <c r="CK38" s="469" t="s">
        <v>142</v>
      </c>
      <c r="CL38" s="469" t="s">
        <v>146</v>
      </c>
      <c r="CM38" s="469" t="s">
        <v>146</v>
      </c>
      <c r="CN38" s="469" t="s">
        <v>146</v>
      </c>
      <c r="CO38" s="469" t="s">
        <v>142</v>
      </c>
      <c r="CP38" s="469" t="s">
        <v>142</v>
      </c>
      <c r="CQ38" s="469" t="s">
        <v>142</v>
      </c>
      <c r="CR38" s="469" t="s">
        <v>142</v>
      </c>
      <c r="CS38" s="469" t="s">
        <v>142</v>
      </c>
      <c r="CT38" s="469" t="s">
        <v>142</v>
      </c>
      <c r="CU38" s="469" t="s">
        <v>142</v>
      </c>
      <c r="CV38" s="469" t="s">
        <v>142</v>
      </c>
      <c r="CW38" s="469" t="s">
        <v>142</v>
      </c>
      <c r="CX38" s="469" t="s">
        <v>142</v>
      </c>
      <c r="CY38" s="469" t="s">
        <v>142</v>
      </c>
      <c r="CZ38" s="470" t="s">
        <v>146</v>
      </c>
      <c r="DA38" s="465" t="s">
        <v>154</v>
      </c>
      <c r="DB38" s="50" t="s">
        <v>155</v>
      </c>
      <c r="DC38" s="50" t="s">
        <v>156</v>
      </c>
      <c r="DD38" s="50" t="s">
        <v>146</v>
      </c>
      <c r="DE38" s="50" t="s">
        <v>157</v>
      </c>
      <c r="DF38" s="50" t="s">
        <v>146</v>
      </c>
      <c r="DG38" s="224"/>
      <c r="DH38" s="224"/>
      <c r="DI38" s="498"/>
      <c r="DJ38" s="499"/>
      <c r="DK38" s="225"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85" t="s">
        <v>1804</v>
      </c>
      <c r="D39" s="50" t="s">
        <v>174</v>
      </c>
      <c r="E39" s="51">
        <v>5943</v>
      </c>
      <c r="F39" s="486" t="s">
        <v>1776</v>
      </c>
      <c r="G39" s="53" t="s">
        <v>1617</v>
      </c>
      <c r="H39" s="80" t="s">
        <v>1777</v>
      </c>
      <c r="I39" s="300" t="s">
        <v>1778</v>
      </c>
      <c r="J39" s="461"/>
      <c r="K39" s="500" t="s">
        <v>1805</v>
      </c>
      <c r="L39" s="55"/>
      <c r="M39" s="487" t="s">
        <v>1806</v>
      </c>
      <c r="N39" s="488" t="s">
        <v>1807</v>
      </c>
      <c r="O39" s="457" t="s">
        <v>146</v>
      </c>
      <c r="P39" s="470" t="s">
        <v>146</v>
      </c>
      <c r="Q39" s="60" t="s">
        <v>1495</v>
      </c>
      <c r="R39" s="61" t="str">
        <f>VLOOKUP(Sheet_1_Table_1_136[[#This Row],[Learning Domain]],[19]List!$A$7:$B$12,2,0)</f>
        <v>RE</v>
      </c>
      <c r="S39" s="457">
        <v>0</v>
      </c>
      <c r="T39" s="457">
        <v>0</v>
      </c>
      <c r="U39" s="457">
        <v>0</v>
      </c>
      <c r="V39" s="457">
        <v>25</v>
      </c>
      <c r="W39" s="457">
        <v>75</v>
      </c>
      <c r="X39" s="457">
        <v>0</v>
      </c>
      <c r="Y39" s="457">
        <v>0</v>
      </c>
      <c r="Z39" s="457">
        <v>0</v>
      </c>
      <c r="AA39" s="457">
        <v>0</v>
      </c>
      <c r="AB39" s="489">
        <v>100</v>
      </c>
      <c r="AC39" s="469" t="s">
        <v>144</v>
      </c>
      <c r="AD39" s="457" t="s">
        <v>190</v>
      </c>
      <c r="AE39" s="457" t="s">
        <v>142</v>
      </c>
      <c r="AF39" s="457" t="s">
        <v>146</v>
      </c>
      <c r="AG39" s="457" t="s">
        <v>142</v>
      </c>
      <c r="AH39" s="457">
        <v>1</v>
      </c>
      <c r="AI39" s="457">
        <v>20</v>
      </c>
      <c r="AJ39" s="62">
        <f>SUM(Sheet_1_Table_1_136[[#This Row],[ILP Units Per Session]]*Sheet_1_Table_1_136[[#This Row],[Quota]])</f>
        <v>20</v>
      </c>
      <c r="AK39" s="490">
        <v>46326</v>
      </c>
      <c r="AL39" s="64" t="str">
        <f>TEXT(Sheet_1_Table_1_136[[#This Row],[Lesson 1 
Date 
(DD-MMM-YYYY)]], "ddd")</f>
        <v>Sat</v>
      </c>
      <c r="AM39" s="463">
        <v>0.4375</v>
      </c>
      <c r="AN39" s="464">
        <v>0.47916666666666702</v>
      </c>
      <c r="AO39" s="494" t="s">
        <v>609</v>
      </c>
      <c r="AP39" s="492"/>
      <c r="AQ39" s="493" t="e">
        <f>WEEKDAY([20]!Sheet_1_Table_1_13[[#This Row],[Lesson 2
Date 
(DD-MMM-YYYY)]])</f>
        <v>#REF!</v>
      </c>
      <c r="AR39" s="463"/>
      <c r="AS39" s="464"/>
      <c r="AT39" s="464"/>
      <c r="AU39" s="490"/>
      <c r="AV39" s="493" t="e">
        <f>WEEKDAY([20]!Sheet_1_Table_1_13[[#This Row],[Lesson 3
Date 
(DD-MMM-YYYY)]])</f>
        <v>#REF!</v>
      </c>
      <c r="AW39" s="463"/>
      <c r="AX39" s="464"/>
      <c r="AY39" s="494"/>
      <c r="AZ39" s="492"/>
      <c r="BA39" s="493" t="e">
        <f>WEEKDAY([20]!Sheet_1_Table_1_13[[#This Row],[Lesson 4
Date 
(DD-MMM-YYYY)]])</f>
        <v>#REF!</v>
      </c>
      <c r="BB39" s="463"/>
      <c r="BC39" s="464"/>
      <c r="BD39" s="464"/>
      <c r="BE39" s="490"/>
      <c r="BF39" s="493" t="e">
        <f>WEEKDAY([20]!Sheet_1_Table_1_13[[#This Row],[Lesson 5
Date 
(DD-MMM-YYYY)]])</f>
        <v>#REF!</v>
      </c>
      <c r="BG39" s="463"/>
      <c r="BH39" s="464"/>
      <c r="BI39" s="494"/>
      <c r="BJ39" s="492"/>
      <c r="BK39" s="493" t="e">
        <f>WEEKDAY([20]!Sheet_1_Table_1_13[[#This Row],[Lesson 6
Date 
(DD-MMM-YYYY)]])</f>
        <v>#REF!</v>
      </c>
      <c r="BL39" s="463"/>
      <c r="BM39" s="464"/>
      <c r="BN39" s="464"/>
      <c r="BO39" s="465" t="s">
        <v>291</v>
      </c>
      <c r="BP39" s="510" t="s">
        <v>1808</v>
      </c>
      <c r="BQ39" s="457" t="s">
        <v>1809</v>
      </c>
      <c r="BR39" s="458" t="s">
        <v>1810</v>
      </c>
      <c r="BS39" s="469"/>
      <c r="BT39" s="466"/>
      <c r="BU39" s="457"/>
      <c r="BV39" s="488"/>
      <c r="BW39" s="461"/>
      <c r="BX39" s="495"/>
      <c r="BY39" s="462" t="s">
        <v>149</v>
      </c>
      <c r="BZ39" s="462"/>
      <c r="CA39" s="462" t="s">
        <v>1638</v>
      </c>
      <c r="CB39" s="496"/>
      <c r="CC39" s="496"/>
      <c r="CD39" s="495"/>
      <c r="CE39" s="461" t="s">
        <v>1789</v>
      </c>
      <c r="CF39" s="497" t="s">
        <v>1790</v>
      </c>
      <c r="CG39" s="462"/>
      <c r="CH39" s="458"/>
      <c r="CI39" s="469" t="s">
        <v>146</v>
      </c>
      <c r="CJ39" s="469" t="s">
        <v>142</v>
      </c>
      <c r="CK39" s="469" t="s">
        <v>142</v>
      </c>
      <c r="CL39" s="469" t="s">
        <v>146</v>
      </c>
      <c r="CM39" s="469" t="s">
        <v>146</v>
      </c>
      <c r="CN39" s="469" t="s">
        <v>142</v>
      </c>
      <c r="CO39" s="469" t="s">
        <v>142</v>
      </c>
      <c r="CP39" s="469" t="s">
        <v>142</v>
      </c>
      <c r="CQ39" s="469" t="s">
        <v>142</v>
      </c>
      <c r="CR39" s="469" t="s">
        <v>142</v>
      </c>
      <c r="CS39" s="469" t="s">
        <v>142</v>
      </c>
      <c r="CT39" s="469" t="s">
        <v>146</v>
      </c>
      <c r="CU39" s="469" t="s">
        <v>146</v>
      </c>
      <c r="CV39" s="469" t="s">
        <v>142</v>
      </c>
      <c r="CW39" s="469" t="s">
        <v>142</v>
      </c>
      <c r="CX39" s="469" t="s">
        <v>142</v>
      </c>
      <c r="CY39" s="469" t="s">
        <v>142</v>
      </c>
      <c r="CZ39" s="470" t="s">
        <v>146</v>
      </c>
      <c r="DA39" s="465" t="s">
        <v>154</v>
      </c>
      <c r="DB39" s="50" t="s">
        <v>155</v>
      </c>
      <c r="DC39" s="50" t="s">
        <v>156</v>
      </c>
      <c r="DD39" s="50" t="s">
        <v>146</v>
      </c>
      <c r="DE39" s="50" t="s">
        <v>157</v>
      </c>
      <c r="DF39" s="50" t="s">
        <v>146</v>
      </c>
      <c r="DG39" s="73"/>
      <c r="DH39" s="73"/>
      <c r="DI39" s="498"/>
      <c r="DJ39" s="499"/>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85" t="s">
        <v>1811</v>
      </c>
      <c r="D40" s="50" t="s">
        <v>204</v>
      </c>
      <c r="E40" s="51">
        <v>5944</v>
      </c>
      <c r="F40" s="486" t="s">
        <v>1776</v>
      </c>
      <c r="G40" s="53" t="s">
        <v>1617</v>
      </c>
      <c r="H40" s="80" t="s">
        <v>1777</v>
      </c>
      <c r="I40" s="300" t="s">
        <v>1778</v>
      </c>
      <c r="J40" s="461"/>
      <c r="K40" s="500" t="s">
        <v>1812</v>
      </c>
      <c r="L40" s="55"/>
      <c r="M40" s="487" t="s">
        <v>1813</v>
      </c>
      <c r="N40" s="458" t="s">
        <v>1814</v>
      </c>
      <c r="O40" s="516" t="s">
        <v>146</v>
      </c>
      <c r="P40" s="470" t="s">
        <v>146</v>
      </c>
      <c r="Q40" s="60" t="s">
        <v>1495</v>
      </c>
      <c r="R40" s="77" t="str">
        <f>VLOOKUP(Sheet_1_Table_1_136[[#This Row],[Learning Domain]],[19]List!$A$7:$B$12,2,0)</f>
        <v>RE</v>
      </c>
      <c r="S40" s="457">
        <v>50</v>
      </c>
      <c r="T40" s="457">
        <v>0</v>
      </c>
      <c r="U40" s="457">
        <v>0</v>
      </c>
      <c r="V40" s="457">
        <v>25</v>
      </c>
      <c r="W40" s="457">
        <v>0</v>
      </c>
      <c r="X40" s="457">
        <v>25</v>
      </c>
      <c r="Y40" s="457">
        <v>0</v>
      </c>
      <c r="Z40" s="457">
        <v>0</v>
      </c>
      <c r="AA40" s="457">
        <v>0</v>
      </c>
      <c r="AB40" s="489">
        <v>100</v>
      </c>
      <c r="AC40" s="469" t="s">
        <v>199</v>
      </c>
      <c r="AD40" s="457" t="s">
        <v>190</v>
      </c>
      <c r="AE40" s="457" t="s">
        <v>146</v>
      </c>
      <c r="AF40" s="457" t="s">
        <v>142</v>
      </c>
      <c r="AG40" s="457" t="s">
        <v>142</v>
      </c>
      <c r="AH40" s="457">
        <v>1</v>
      </c>
      <c r="AI40" s="457">
        <v>20</v>
      </c>
      <c r="AJ40" s="62">
        <f>SUM(Sheet_1_Table_1_136[[#This Row],[ILP Units Per Session]]*Sheet_1_Table_1_136[[#This Row],[Quota]])</f>
        <v>20</v>
      </c>
      <c r="AK40" s="490">
        <v>46330</v>
      </c>
      <c r="AL40" s="64" t="str">
        <f>TEXT(Sheet_1_Table_1_136[[#This Row],[Lesson 1 
Date 
(DD-MMM-YYYY)]], "ddd")</f>
        <v>Wed</v>
      </c>
      <c r="AM40" s="463">
        <v>0.79166666666666663</v>
      </c>
      <c r="AN40" s="464">
        <v>0.83333333333333337</v>
      </c>
      <c r="AO40" s="494" t="s">
        <v>1815</v>
      </c>
      <c r="AP40" s="492"/>
      <c r="AQ40" s="493" t="e">
        <f>WEEKDAY([20]!Sheet_1_Table_1_13[[#This Row],[Lesson 2
Date 
(DD-MMM-YYYY)]])</f>
        <v>#REF!</v>
      </c>
      <c r="AR40" s="463"/>
      <c r="AS40" s="464"/>
      <c r="AT40" s="464"/>
      <c r="AU40" s="490"/>
      <c r="AV40" s="493" t="e">
        <f>WEEKDAY([20]!Sheet_1_Table_1_13[[#This Row],[Lesson 3
Date 
(DD-MMM-YYYY)]])</f>
        <v>#REF!</v>
      </c>
      <c r="AW40" s="463"/>
      <c r="AX40" s="464"/>
      <c r="AY40" s="494"/>
      <c r="AZ40" s="492"/>
      <c r="BA40" s="493" t="e">
        <f>WEEKDAY([20]!Sheet_1_Table_1_13[[#This Row],[Lesson 4
Date 
(DD-MMM-YYYY)]])</f>
        <v>#REF!</v>
      </c>
      <c r="BB40" s="463"/>
      <c r="BC40" s="464"/>
      <c r="BD40" s="464"/>
      <c r="BE40" s="490"/>
      <c r="BF40" s="493" t="e">
        <f>WEEKDAY([20]!Sheet_1_Table_1_13[[#This Row],[Lesson 5
Date 
(DD-MMM-YYYY)]])</f>
        <v>#REF!</v>
      </c>
      <c r="BG40" s="463"/>
      <c r="BH40" s="464"/>
      <c r="BI40" s="494"/>
      <c r="BJ40" s="492"/>
      <c r="BK40" s="493" t="e">
        <f>WEEKDAY([20]!Sheet_1_Table_1_13[[#This Row],[Lesson 6
Date 
(DD-MMM-YYYY)]])</f>
        <v>#REF!</v>
      </c>
      <c r="BL40" s="463"/>
      <c r="BM40" s="464"/>
      <c r="BN40" s="464"/>
      <c r="BO40" s="465" t="s">
        <v>291</v>
      </c>
      <c r="BP40" s="466" t="s">
        <v>1783</v>
      </c>
      <c r="BQ40" s="457" t="s">
        <v>1784</v>
      </c>
      <c r="BR40" s="458" t="s">
        <v>1785</v>
      </c>
      <c r="BS40" s="469"/>
      <c r="BT40" s="462"/>
      <c r="BU40" s="462"/>
      <c r="BV40" s="488"/>
      <c r="BW40" s="461"/>
      <c r="BX40" s="495"/>
      <c r="BY40" s="462" t="s">
        <v>184</v>
      </c>
      <c r="BZ40" s="462"/>
      <c r="CA40" s="462" t="s">
        <v>1638</v>
      </c>
      <c r="CB40" s="496"/>
      <c r="CC40" s="496"/>
      <c r="CD40" s="495"/>
      <c r="CE40" s="461" t="s">
        <v>1789</v>
      </c>
      <c r="CF40" s="497" t="s">
        <v>1790</v>
      </c>
      <c r="CG40" s="462"/>
      <c r="CH40" s="458"/>
      <c r="CI40" s="469" t="s">
        <v>142</v>
      </c>
      <c r="CJ40" s="469" t="s">
        <v>142</v>
      </c>
      <c r="CK40" s="469" t="s">
        <v>142</v>
      </c>
      <c r="CL40" s="469" t="s">
        <v>146</v>
      </c>
      <c r="CM40" s="469" t="s">
        <v>146</v>
      </c>
      <c r="CN40" s="469" t="s">
        <v>142</v>
      </c>
      <c r="CO40" s="469" t="s">
        <v>142</v>
      </c>
      <c r="CP40" s="469" t="s">
        <v>142</v>
      </c>
      <c r="CQ40" s="469" t="s">
        <v>142</v>
      </c>
      <c r="CR40" s="469" t="s">
        <v>142</v>
      </c>
      <c r="CS40" s="469" t="s">
        <v>142</v>
      </c>
      <c r="CT40" s="469" t="s">
        <v>142</v>
      </c>
      <c r="CU40" s="469" t="s">
        <v>142</v>
      </c>
      <c r="CV40" s="469" t="s">
        <v>142</v>
      </c>
      <c r="CW40" s="469" t="s">
        <v>142</v>
      </c>
      <c r="CX40" s="469" t="s">
        <v>142</v>
      </c>
      <c r="CY40" s="469" t="s">
        <v>142</v>
      </c>
      <c r="CZ40" s="470" t="s">
        <v>146</v>
      </c>
      <c r="DA40" s="465" t="s">
        <v>154</v>
      </c>
      <c r="DB40" s="50" t="s">
        <v>155</v>
      </c>
      <c r="DC40" s="50" t="s">
        <v>156</v>
      </c>
      <c r="DD40" s="50" t="s">
        <v>146</v>
      </c>
      <c r="DE40" s="50" t="s">
        <v>157</v>
      </c>
      <c r="DF40" s="50" t="s">
        <v>146</v>
      </c>
      <c r="DG40" s="73"/>
      <c r="DH40" s="73"/>
      <c r="DI40" s="498"/>
      <c r="DJ40" s="499"/>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43">
        <v>202609</v>
      </c>
      <c r="C41" s="205" t="s">
        <v>1816</v>
      </c>
      <c r="D41" s="205" t="s">
        <v>250</v>
      </c>
      <c r="E41" s="206">
        <v>5945</v>
      </c>
      <c r="F41" s="52" t="s">
        <v>1817</v>
      </c>
      <c r="G41" s="53" t="s">
        <v>1617</v>
      </c>
      <c r="H41" s="80" t="s">
        <v>1818</v>
      </c>
      <c r="I41" s="300" t="s">
        <v>1819</v>
      </c>
      <c r="J41" s="222"/>
      <c r="K41" s="56" t="s">
        <v>1820</v>
      </c>
      <c r="L41" s="55"/>
      <c r="M41" s="56" t="s">
        <v>1821</v>
      </c>
      <c r="N41" s="219" t="s">
        <v>1822</v>
      </c>
      <c r="O41" s="58" t="s">
        <v>146</v>
      </c>
      <c r="P41" s="460" t="s">
        <v>146</v>
      </c>
      <c r="Q41" s="222" t="s">
        <v>1495</v>
      </c>
      <c r="R41" s="61" t="str">
        <f>VLOOKUP(Sheet_1_Table_1_136[[#This Row],[Learning Domain]],[19]List!$A$7:$B$12,2,0)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9" t="s">
        <v>190</v>
      </c>
      <c r="AE41" s="209" t="s">
        <v>146</v>
      </c>
      <c r="AF41" s="209" t="s">
        <v>146</v>
      </c>
      <c r="AG41" s="209" t="s">
        <v>146</v>
      </c>
      <c r="AH41" s="209">
        <v>2</v>
      </c>
      <c r="AI41" s="55">
        <v>30</v>
      </c>
      <c r="AJ41" s="62">
        <f>SUM(Sheet_1_Table_1_136[[#This Row],[ILP Units Per Session]]*Sheet_1_Table_1_136[[#This Row],[Quota]])</f>
        <v>60</v>
      </c>
      <c r="AK41" s="211">
        <v>46286</v>
      </c>
      <c r="AL41" s="64" t="str">
        <f>TEXT(Sheet_1_Table_1_136[[#This Row],[Lesson 1 
Date 
(DD-MMM-YYYY)]], "ddd")</f>
        <v>Mon</v>
      </c>
      <c r="AM41" s="212">
        <v>0.77083333333333337</v>
      </c>
      <c r="AN41" s="213">
        <v>0.85416666666666663</v>
      </c>
      <c r="AO41" s="215" t="s">
        <v>1823</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16" t="s">
        <v>163</v>
      </c>
      <c r="BP41" s="217" t="s">
        <v>792</v>
      </c>
      <c r="BQ41" s="209" t="s">
        <v>409</v>
      </c>
      <c r="BR41" s="219" t="s">
        <v>1824</v>
      </c>
      <c r="BS41" s="52"/>
      <c r="BT41" s="217"/>
      <c r="BU41" s="209"/>
      <c r="BV41" s="70"/>
      <c r="BW41" s="60"/>
      <c r="BX41" s="71"/>
      <c r="BY41" s="218" t="s">
        <v>149</v>
      </c>
      <c r="BZ41" s="218"/>
      <c r="CA41" s="462" t="s">
        <v>1638</v>
      </c>
      <c r="CB41" s="220"/>
      <c r="CC41" s="220"/>
      <c r="CD41" s="221"/>
      <c r="CE41" s="222" t="s">
        <v>1825</v>
      </c>
      <c r="CF41" s="164" t="s">
        <v>795</v>
      </c>
      <c r="CG41" s="56"/>
      <c r="CH41" s="57"/>
      <c r="CI41" s="223"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24"/>
      <c r="DH41" s="224"/>
      <c r="DI41" s="74"/>
      <c r="DJ41" s="75"/>
      <c r="DK41" s="225" t="s">
        <v>146</v>
      </c>
      <c r="DL41" s="225" t="s">
        <v>146</v>
      </c>
      <c r="DM41" s="225"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43">
        <v>202609</v>
      </c>
      <c r="C42" s="50" t="s">
        <v>1826</v>
      </c>
      <c r="D42" s="205" t="s">
        <v>250</v>
      </c>
      <c r="E42" s="206">
        <v>5946</v>
      </c>
      <c r="F42" s="52" t="s">
        <v>1817</v>
      </c>
      <c r="G42" s="53" t="s">
        <v>1617</v>
      </c>
      <c r="H42" s="80" t="s">
        <v>1818</v>
      </c>
      <c r="I42" s="300" t="s">
        <v>1819</v>
      </c>
      <c r="J42" s="222"/>
      <c r="K42" s="56" t="s">
        <v>1827</v>
      </c>
      <c r="L42" s="55"/>
      <c r="M42" s="56" t="s">
        <v>1828</v>
      </c>
      <c r="N42" s="219" t="s">
        <v>1829</v>
      </c>
      <c r="O42" s="58" t="s">
        <v>146</v>
      </c>
      <c r="P42" s="460" t="s">
        <v>146</v>
      </c>
      <c r="Q42" s="222" t="s">
        <v>1495</v>
      </c>
      <c r="R42" s="77" t="str">
        <f>VLOOKUP(Sheet_1_Table_1_136[[#This Row],[Learning Domain]],[19]List!$A$7:$B$12,2,0)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9" t="s">
        <v>190</v>
      </c>
      <c r="AE42" s="209" t="s">
        <v>146</v>
      </c>
      <c r="AF42" s="209" t="s">
        <v>146</v>
      </c>
      <c r="AG42" s="209" t="s">
        <v>146</v>
      </c>
      <c r="AH42" s="209">
        <v>2</v>
      </c>
      <c r="AI42" s="55">
        <v>30</v>
      </c>
      <c r="AJ42" s="62">
        <f>SUM(Sheet_1_Table_1_136[[#This Row],[ILP Units Per Session]]*Sheet_1_Table_1_136[[#This Row],[Quota]])</f>
        <v>60</v>
      </c>
      <c r="AK42" s="211">
        <v>46287</v>
      </c>
      <c r="AL42" s="64" t="str">
        <f>TEXT(Sheet_1_Table_1_136[[#This Row],[Lesson 1 
Date 
(DD-MMM-YYYY)]], "ddd")</f>
        <v>Tue</v>
      </c>
      <c r="AM42" s="212">
        <v>0.77083333333333337</v>
      </c>
      <c r="AN42" s="213">
        <v>0.85416666666666663</v>
      </c>
      <c r="AO42" s="215" t="s">
        <v>1830</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16" t="s">
        <v>163</v>
      </c>
      <c r="BP42" s="217" t="s">
        <v>792</v>
      </c>
      <c r="BQ42" s="209" t="s">
        <v>409</v>
      </c>
      <c r="BR42" s="219" t="s">
        <v>1824</v>
      </c>
      <c r="BS42" s="52"/>
      <c r="BT42" s="217"/>
      <c r="BU42" s="209"/>
      <c r="BV42" s="70"/>
      <c r="BW42" s="60"/>
      <c r="BX42" s="71"/>
      <c r="BY42" s="218" t="s">
        <v>149</v>
      </c>
      <c r="BZ42" s="218"/>
      <c r="CA42" s="462" t="s">
        <v>1638</v>
      </c>
      <c r="CB42" s="220"/>
      <c r="CC42" s="220"/>
      <c r="CD42" s="221"/>
      <c r="CE42" s="222" t="s">
        <v>1825</v>
      </c>
      <c r="CF42" s="164" t="s">
        <v>795</v>
      </c>
      <c r="CG42" s="56"/>
      <c r="CH42" s="57"/>
      <c r="CI42" s="223"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24"/>
      <c r="DH42" s="224"/>
      <c r="DI42" s="74"/>
      <c r="DJ42" s="75"/>
      <c r="DK42" s="225" t="s">
        <v>146</v>
      </c>
      <c r="DL42" s="225" t="s">
        <v>146</v>
      </c>
      <c r="DM42" s="225"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43">
        <v>202609</v>
      </c>
      <c r="C43" s="50" t="s">
        <v>1831</v>
      </c>
      <c r="D43" s="50" t="s">
        <v>174</v>
      </c>
      <c r="E43" s="51">
        <v>5948</v>
      </c>
      <c r="F43" s="52" t="s">
        <v>1817</v>
      </c>
      <c r="G43" s="53" t="s">
        <v>1617</v>
      </c>
      <c r="H43" s="80" t="s">
        <v>1818</v>
      </c>
      <c r="I43" s="300" t="s">
        <v>1819</v>
      </c>
      <c r="J43" s="60"/>
      <c r="K43" s="56" t="s">
        <v>1832</v>
      </c>
      <c r="L43" s="55"/>
      <c r="M43" s="56" t="s">
        <v>1833</v>
      </c>
      <c r="N43" s="57" t="s">
        <v>1834</v>
      </c>
      <c r="O43" s="58" t="s">
        <v>146</v>
      </c>
      <c r="P43" s="460" t="s">
        <v>146</v>
      </c>
      <c r="Q43" s="222" t="s">
        <v>1495</v>
      </c>
      <c r="R43" s="61" t="str">
        <f>VLOOKUP(Sheet_1_Table_1_136[[#This Row],[Learning Domain]],[19]List!$A$7:$B$12,2,0)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353</v>
      </c>
      <c r="AE43" s="209" t="s">
        <v>146</v>
      </c>
      <c r="AF43" s="209" t="s">
        <v>146</v>
      </c>
      <c r="AG43" s="209"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1761</v>
      </c>
      <c r="BQ43" s="209" t="s">
        <v>1835</v>
      </c>
      <c r="BR43" s="57" t="s">
        <v>1836</v>
      </c>
      <c r="BS43" s="52"/>
      <c r="BT43" s="56"/>
      <c r="BU43" s="56"/>
      <c r="BV43" s="70"/>
      <c r="BW43" s="60"/>
      <c r="BX43" s="71"/>
      <c r="BY43" s="56" t="s">
        <v>184</v>
      </c>
      <c r="BZ43" s="56"/>
      <c r="CA43" s="462" t="s">
        <v>1638</v>
      </c>
      <c r="CB43" s="517" t="s">
        <v>1837</v>
      </c>
      <c r="CC43" s="72" t="s">
        <v>1838</v>
      </c>
      <c r="CD43" s="71">
        <v>50058953</v>
      </c>
      <c r="CE43" s="60" t="s">
        <v>1839</v>
      </c>
      <c r="CF43" s="164" t="s">
        <v>1840</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43">
        <v>202609</v>
      </c>
      <c r="C44" s="50" t="s">
        <v>1841</v>
      </c>
      <c r="D44" s="50" t="s">
        <v>174</v>
      </c>
      <c r="E44" s="51">
        <v>5949</v>
      </c>
      <c r="F44" s="52" t="s">
        <v>1817</v>
      </c>
      <c r="G44" s="53" t="s">
        <v>1617</v>
      </c>
      <c r="H44" s="80" t="s">
        <v>1818</v>
      </c>
      <c r="I44" s="300" t="s">
        <v>1819</v>
      </c>
      <c r="J44" s="60"/>
      <c r="K44" s="56" t="s">
        <v>1842</v>
      </c>
      <c r="L44" s="55"/>
      <c r="M44" s="56" t="s">
        <v>1843</v>
      </c>
      <c r="N44" s="57" t="s">
        <v>1844</v>
      </c>
      <c r="O44" s="58" t="s">
        <v>146</v>
      </c>
      <c r="P44" s="460" t="s">
        <v>146</v>
      </c>
      <c r="Q44" s="222" t="s">
        <v>1495</v>
      </c>
      <c r="R44" s="61" t="str">
        <f>VLOOKUP(Sheet_1_Table_1_136[[#This Row],[Learning Domain]],[19]List!$A$7:$B$12,2,0)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353</v>
      </c>
      <c r="AE44" s="209" t="s">
        <v>146</v>
      </c>
      <c r="AF44" s="209" t="s">
        <v>146</v>
      </c>
      <c r="AG44" s="209"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1761</v>
      </c>
      <c r="BQ44" s="209" t="s">
        <v>1835</v>
      </c>
      <c r="BR44" s="57" t="s">
        <v>1836</v>
      </c>
      <c r="BS44" s="52"/>
      <c r="BT44" s="56"/>
      <c r="BU44" s="56"/>
      <c r="BV44" s="70"/>
      <c r="BW44" s="60"/>
      <c r="BX44" s="71"/>
      <c r="BY44" s="56"/>
      <c r="BZ44" s="56"/>
      <c r="CA44" s="462" t="s">
        <v>1638</v>
      </c>
      <c r="CB44" s="517" t="s">
        <v>1845</v>
      </c>
      <c r="CC44" s="72" t="s">
        <v>1846</v>
      </c>
      <c r="CD44" s="71">
        <v>84641366</v>
      </c>
      <c r="CE44" s="60" t="s">
        <v>1839</v>
      </c>
      <c r="CF44" s="71" t="s">
        <v>1840</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43</v>
      </c>
      <c r="B45" s="343">
        <v>202609</v>
      </c>
      <c r="C45" s="50" t="s">
        <v>1847</v>
      </c>
      <c r="D45" s="50" t="s">
        <v>174</v>
      </c>
      <c r="E45" s="51">
        <v>5950</v>
      </c>
      <c r="F45" s="52" t="s">
        <v>1817</v>
      </c>
      <c r="G45" s="53" t="s">
        <v>1617</v>
      </c>
      <c r="H45" s="80" t="s">
        <v>1818</v>
      </c>
      <c r="I45" s="300" t="s">
        <v>1819</v>
      </c>
      <c r="J45" s="60"/>
      <c r="K45" s="56" t="s">
        <v>1848</v>
      </c>
      <c r="L45" s="55"/>
      <c r="M45" s="56" t="s">
        <v>1849</v>
      </c>
      <c r="N45" s="57" t="s">
        <v>1850</v>
      </c>
      <c r="O45" s="58" t="s">
        <v>146</v>
      </c>
      <c r="P45" s="460" t="s">
        <v>146</v>
      </c>
      <c r="Q45" s="222" t="s">
        <v>1495</v>
      </c>
      <c r="R45" s="77" t="str">
        <f>VLOOKUP(Sheet_1_Table_1_136[[#This Row],[Learning Domain]],[19]List!$A$7:$B$12,2,0)</f>
        <v>RE</v>
      </c>
      <c r="S45" s="55">
        <v>0</v>
      </c>
      <c r="T45" s="55">
        <v>0</v>
      </c>
      <c r="U45" s="55">
        <v>60</v>
      </c>
      <c r="V45" s="55">
        <v>40</v>
      </c>
      <c r="W45" s="55">
        <v>0</v>
      </c>
      <c r="X45" s="55">
        <v>0</v>
      </c>
      <c r="Y45" s="55">
        <v>0</v>
      </c>
      <c r="Z45" s="55">
        <v>0</v>
      </c>
      <c r="AA45" s="55">
        <v>0</v>
      </c>
      <c r="AB45" s="53">
        <f>SUM(Sheet_1_Table_1_136[[#This Row],[Leadership LS]:[Career Development  CR]])</f>
        <v>100</v>
      </c>
      <c r="AC45" s="52" t="s">
        <v>199</v>
      </c>
      <c r="AD45" s="55" t="s">
        <v>190</v>
      </c>
      <c r="AE45" s="55" t="s">
        <v>142</v>
      </c>
      <c r="AF45" s="55" t="s">
        <v>146</v>
      </c>
      <c r="AG45" s="55" t="s">
        <v>146</v>
      </c>
      <c r="AH45" s="55">
        <v>1</v>
      </c>
      <c r="AI45" s="55">
        <v>15</v>
      </c>
      <c r="AJ45" s="62">
        <f>Sheet_1_Table_1_136[[#This Row],[ILP Units Per Session]]*Sheet_1_Table_1_136[[#This Row],[Quota]]</f>
        <v>15</v>
      </c>
      <c r="AK45" s="63">
        <v>46319</v>
      </c>
      <c r="AL45" s="165">
        <f>WEEKDAY(Sheet_1_Table_1_136[[#This Row],[Lesson 1 
Date 
(DD-MMM-YYYY)]])</f>
        <v>7</v>
      </c>
      <c r="AM45" s="65">
        <v>0.58333333333333337</v>
      </c>
      <c r="AN45" s="66">
        <v>0.625</v>
      </c>
      <c r="AO45" s="67" t="s">
        <v>1851</v>
      </c>
      <c r="AP45" s="68"/>
      <c r="AQ45" s="64">
        <f>WEEKDAY(Sheet_1_Table_1_136[[#This Row],[Lesson 2
Date 
(DD-MMM-YYYY)]])</f>
        <v>7</v>
      </c>
      <c r="AR45" s="65"/>
      <c r="AS45" s="66"/>
      <c r="AT45" s="126"/>
      <c r="AU45" s="63"/>
      <c r="AV45" s="64">
        <f>WEEKDAY(Sheet_1_Table_1_136[[#This Row],[Lesson 3
Date 
(DD-MMM-YYYY)]])</f>
        <v>7</v>
      </c>
      <c r="AW45" s="65"/>
      <c r="AX45" s="66"/>
      <c r="AY45" s="126"/>
      <c r="AZ45" s="98"/>
      <c r="BA45" s="64">
        <f>WEEKDAY(Sheet_1_Table_1_136[[#This Row],[Lesson 4
Date 
(DD-MMM-YYYY)]])</f>
        <v>7</v>
      </c>
      <c r="BB45" s="65"/>
      <c r="BC45" s="66"/>
      <c r="BD45" s="126"/>
      <c r="BE45" s="63"/>
      <c r="BF45" s="64">
        <f>WEEKDAY(Sheet_1_Table_1_136[[#This Row],[Lesson 5
Date 
(DD-MMM-YYYY)]])</f>
        <v>7</v>
      </c>
      <c r="BG45" s="65"/>
      <c r="BH45" s="66"/>
      <c r="BI45" s="126"/>
      <c r="BJ45" s="98"/>
      <c r="BK45" s="64">
        <f>WEEKDAY(Sheet_1_Table_1_136[[#This Row],[Lesson 6
Date 
(DD-MMM-YYYY)]])</f>
        <v>7</v>
      </c>
      <c r="BL45" s="65"/>
      <c r="BM45" s="66"/>
      <c r="BN45" s="99"/>
      <c r="BO45" s="54" t="s">
        <v>163</v>
      </c>
      <c r="BP45" s="69" t="s">
        <v>1852</v>
      </c>
      <c r="BQ45" s="209" t="s">
        <v>1853</v>
      </c>
      <c r="BR45" s="57" t="s">
        <v>1854</v>
      </c>
      <c r="BS45" s="52"/>
      <c r="BT45" s="56"/>
      <c r="BU45" s="56"/>
      <c r="BV45" s="70"/>
      <c r="BW45" s="60"/>
      <c r="BX45" s="71"/>
      <c r="BY45" s="56" t="s">
        <v>184</v>
      </c>
      <c r="BZ45" s="56"/>
      <c r="CA45" s="462" t="s">
        <v>1638</v>
      </c>
      <c r="CB45" s="72"/>
      <c r="CC45" s="72"/>
      <c r="CD45" s="71"/>
      <c r="CE45" s="60" t="s">
        <v>1855</v>
      </c>
      <c r="CF45" s="164" t="s">
        <v>1856</v>
      </c>
      <c r="CG45" s="56"/>
      <c r="CH45" s="57"/>
      <c r="CI45" s="52" t="s">
        <v>146</v>
      </c>
      <c r="CJ45" s="52" t="s">
        <v>142</v>
      </c>
      <c r="CK45" s="52" t="s">
        <v>142</v>
      </c>
      <c r="CL45" s="52" t="s">
        <v>146</v>
      </c>
      <c r="CM45" s="52" t="s">
        <v>146</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1857</v>
      </c>
      <c r="D46" s="50" t="s">
        <v>250</v>
      </c>
      <c r="E46" s="51">
        <v>5951</v>
      </c>
      <c r="F46" s="471" t="s">
        <v>1858</v>
      </c>
      <c r="G46" s="53" t="s">
        <v>1617</v>
      </c>
      <c r="H46" s="80" t="s">
        <v>1859</v>
      </c>
      <c r="I46" s="300" t="s">
        <v>1860</v>
      </c>
      <c r="J46" s="141" t="s">
        <v>1861</v>
      </c>
      <c r="K46" s="69" t="s">
        <v>1779</v>
      </c>
      <c r="L46" s="55"/>
      <c r="M46" s="56" t="s">
        <v>1862</v>
      </c>
      <c r="N46" s="57" t="s">
        <v>1863</v>
      </c>
      <c r="O46" s="162" t="s">
        <v>142</v>
      </c>
      <c r="P46" s="182" t="s">
        <v>142</v>
      </c>
      <c r="Q46" s="60" t="s">
        <v>1495</v>
      </c>
      <c r="R46" s="61" t="str">
        <f>VLOOKUP(Sheet_1_Table_1_136[[#This Row],[Learning Domain]],[19]List!$A$7:$B$12,2,0)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353</v>
      </c>
      <c r="AE46" s="55" t="s">
        <v>146</v>
      </c>
      <c r="AF46" s="55" t="s">
        <v>146</v>
      </c>
      <c r="AG46" s="55" t="s">
        <v>146</v>
      </c>
      <c r="AH46" s="55">
        <v>1.5</v>
      </c>
      <c r="AI46" s="55">
        <v>150</v>
      </c>
      <c r="AJ46" s="62">
        <f>Sheet_1_Table_1_136[[#This Row],[ILP Units Per Session]]*Sheet_1_Table_1_136[[#This Row],[Quota]]</f>
        <v>225</v>
      </c>
      <c r="AK46" s="51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287</v>
      </c>
      <c r="BP46" s="69" t="s">
        <v>1864</v>
      </c>
      <c r="BQ46" s="69" t="s">
        <v>1865</v>
      </c>
      <c r="BR46" s="137" t="s">
        <v>1866</v>
      </c>
      <c r="BS46" s="52"/>
      <c r="BT46" s="56"/>
      <c r="BU46" s="56"/>
      <c r="BV46" s="70"/>
      <c r="BW46" s="141"/>
      <c r="BX46" s="71"/>
      <c r="BY46" s="56"/>
      <c r="BZ46" s="56"/>
      <c r="CA46" s="56" t="s">
        <v>1796</v>
      </c>
      <c r="CB46" s="517"/>
      <c r="CC46" s="72"/>
      <c r="CD46" s="71"/>
      <c r="CE46" s="60" t="s">
        <v>1867</v>
      </c>
      <c r="CF46" s="164" t="s">
        <v>1868</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1869</v>
      </c>
      <c r="D47" s="50" t="s">
        <v>174</v>
      </c>
      <c r="E47" s="51">
        <v>5952</v>
      </c>
      <c r="F47" s="471" t="s">
        <v>1858</v>
      </c>
      <c r="G47" s="53" t="s">
        <v>1617</v>
      </c>
      <c r="H47" s="80" t="s">
        <v>1859</v>
      </c>
      <c r="I47" s="300" t="s">
        <v>1860</v>
      </c>
      <c r="J47" s="141" t="s">
        <v>1870</v>
      </c>
      <c r="K47" s="69" t="s">
        <v>1871</v>
      </c>
      <c r="L47" s="55"/>
      <c r="M47" s="56" t="s">
        <v>1872</v>
      </c>
      <c r="N47" s="57" t="s">
        <v>1873</v>
      </c>
      <c r="O47" s="58" t="s">
        <v>146</v>
      </c>
      <c r="P47" s="59" t="s">
        <v>146</v>
      </c>
      <c r="Q47" s="60" t="s">
        <v>1495</v>
      </c>
      <c r="R47" s="61" t="str">
        <f>VLOOKUP(Sheet_1_Table_1_136[[#This Row],[Learning Domain]],[19]List!$A$7:$B$12,2,0)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1874</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291</v>
      </c>
      <c r="BP47" s="69" t="s">
        <v>1875</v>
      </c>
      <c r="BQ47" s="69" t="s">
        <v>1876</v>
      </c>
      <c r="BR47" s="57" t="s">
        <v>1877</v>
      </c>
      <c r="BS47" s="519"/>
      <c r="BT47" s="520"/>
      <c r="BU47" s="520"/>
      <c r="BV47" s="521"/>
      <c r="BW47" s="141"/>
      <c r="BX47" s="522">
        <v>100</v>
      </c>
      <c r="BY47" s="523">
        <v>0.77083333333333337</v>
      </c>
      <c r="BZ47" s="69" t="s">
        <v>1878</v>
      </c>
      <c r="CA47" s="69" t="s">
        <v>1879</v>
      </c>
      <c r="CB47" s="524"/>
      <c r="CC47" s="524"/>
      <c r="CD47" s="525"/>
      <c r="CE47" s="60" t="s">
        <v>1880</v>
      </c>
      <c r="CF47" s="164" t="s">
        <v>1881</v>
      </c>
      <c r="CG47" s="520"/>
      <c r="CH47" s="52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27" t="s">
        <v>1882</v>
      </c>
      <c r="D48" s="50" t="s">
        <v>174</v>
      </c>
      <c r="E48" s="528">
        <v>5953</v>
      </c>
      <c r="F48" s="471" t="s">
        <v>1858</v>
      </c>
      <c r="G48" s="53" t="s">
        <v>1617</v>
      </c>
      <c r="H48" s="80" t="s">
        <v>1859</v>
      </c>
      <c r="I48" s="529" t="s">
        <v>1860</v>
      </c>
      <c r="J48" s="530" t="s">
        <v>1883</v>
      </c>
      <c r="K48" s="531" t="s">
        <v>1884</v>
      </c>
      <c r="L48" s="55"/>
      <c r="M48" s="531" t="s">
        <v>1885</v>
      </c>
      <c r="N48" s="532" t="s">
        <v>1886</v>
      </c>
      <c r="O48" s="58" t="s">
        <v>146</v>
      </c>
      <c r="P48" s="533" t="s">
        <v>146</v>
      </c>
      <c r="Q48" s="60" t="s">
        <v>1495</v>
      </c>
      <c r="R48" s="77" t="str">
        <f>VLOOKUP(Sheet_1_Table_1_136[[#This Row],[Learning Domain]],[19]List!$A$7:$B$12,2,0)</f>
        <v>RE</v>
      </c>
      <c r="S48" s="531">
        <v>0</v>
      </c>
      <c r="T48" s="531">
        <v>0</v>
      </c>
      <c r="U48" s="531">
        <v>0</v>
      </c>
      <c r="V48" s="531">
        <v>50</v>
      </c>
      <c r="W48" s="531">
        <v>0</v>
      </c>
      <c r="X48" s="531">
        <v>0</v>
      </c>
      <c r="Y48" s="531">
        <v>50</v>
      </c>
      <c r="Z48" s="531">
        <v>0</v>
      </c>
      <c r="AA48" s="531">
        <v>0</v>
      </c>
      <c r="AB48" s="53">
        <f>SUM(Sheet_1_Table_1_136[[#This Row],[Leadership LS]:[Career Development  CR]])</f>
        <v>100</v>
      </c>
      <c r="AC48" s="534" t="s">
        <v>199</v>
      </c>
      <c r="AD48" s="535" t="s">
        <v>190</v>
      </c>
      <c r="AE48" s="535" t="s">
        <v>142</v>
      </c>
      <c r="AF48" s="535" t="s">
        <v>146</v>
      </c>
      <c r="AG48" s="535" t="s">
        <v>142</v>
      </c>
      <c r="AH48" s="535">
        <v>2</v>
      </c>
      <c r="AI48" s="531">
        <v>10</v>
      </c>
      <c r="AJ48" s="62">
        <f>Sheet_1_Table_1_136[[#This Row],[ILP Units Per Session]]*Sheet_1_Table_1_136[[#This Row],[Quota]]</f>
        <v>20</v>
      </c>
      <c r="AK48" s="536">
        <v>46304</v>
      </c>
      <c r="AL48" s="64">
        <f>WEEKDAY(Sheet_1_Table_1_136[[#This Row],[Lesson 1 
Date 
(DD-MMM-YYYY)]])</f>
        <v>6</v>
      </c>
      <c r="AM48" s="537">
        <v>0.75</v>
      </c>
      <c r="AN48" s="538">
        <v>0.83333333333333337</v>
      </c>
      <c r="AO48" s="539" t="s">
        <v>1887</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30" t="s">
        <v>163</v>
      </c>
      <c r="BP48" s="535" t="s">
        <v>1888</v>
      </c>
      <c r="BQ48" s="535" t="s">
        <v>406</v>
      </c>
      <c r="BR48" s="532" t="s">
        <v>1889</v>
      </c>
      <c r="BS48" s="534"/>
      <c r="BT48" s="535"/>
      <c r="BU48" s="535"/>
      <c r="BV48" s="540"/>
      <c r="BW48" s="541"/>
      <c r="BX48" s="542"/>
      <c r="BY48" s="535" t="s">
        <v>149</v>
      </c>
      <c r="BZ48" s="535"/>
      <c r="CA48" s="531" t="s">
        <v>1638</v>
      </c>
      <c r="CB48" s="543"/>
      <c r="CC48" s="543"/>
      <c r="CD48" s="544"/>
      <c r="CE48" s="530" t="s">
        <v>1890</v>
      </c>
      <c r="CF48" s="545" t="s">
        <v>1891</v>
      </c>
      <c r="CG48" s="531"/>
      <c r="CH48" s="546"/>
      <c r="CI48" s="543" t="s">
        <v>146</v>
      </c>
      <c r="CJ48" s="534" t="s">
        <v>142</v>
      </c>
      <c r="CK48" s="534" t="s">
        <v>142</v>
      </c>
      <c r="CL48" s="534" t="s">
        <v>146</v>
      </c>
      <c r="CM48" s="534" t="s">
        <v>142</v>
      </c>
      <c r="CN48" s="534" t="s">
        <v>142</v>
      </c>
      <c r="CO48" s="534" t="s">
        <v>142</v>
      </c>
      <c r="CP48" s="534" t="s">
        <v>142</v>
      </c>
      <c r="CQ48" s="534" t="s">
        <v>142</v>
      </c>
      <c r="CR48" s="534" t="s">
        <v>142</v>
      </c>
      <c r="CS48" s="534" t="s">
        <v>142</v>
      </c>
      <c r="CT48" s="534" t="s">
        <v>146</v>
      </c>
      <c r="CU48" s="534" t="s">
        <v>142</v>
      </c>
      <c r="CV48" s="534" t="s">
        <v>142</v>
      </c>
      <c r="CW48" s="534" t="s">
        <v>142</v>
      </c>
      <c r="CX48" s="534" t="s">
        <v>142</v>
      </c>
      <c r="CY48" s="534" t="s">
        <v>142</v>
      </c>
      <c r="CZ48" s="540"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1892</v>
      </c>
      <c r="D49" s="50" t="s">
        <v>174</v>
      </c>
      <c r="E49" s="51">
        <v>5954</v>
      </c>
      <c r="F49" s="471" t="s">
        <v>1858</v>
      </c>
      <c r="G49" s="53" t="s">
        <v>1617</v>
      </c>
      <c r="H49" s="80" t="s">
        <v>1859</v>
      </c>
      <c r="I49" s="300" t="s">
        <v>1860</v>
      </c>
      <c r="J49" s="141"/>
      <c r="K49" s="69" t="s">
        <v>1893</v>
      </c>
      <c r="L49" s="55"/>
      <c r="M49" s="56" t="s">
        <v>1894</v>
      </c>
      <c r="N49" s="57" t="s">
        <v>1895</v>
      </c>
      <c r="O49" s="58" t="s">
        <v>146</v>
      </c>
      <c r="P49" s="59" t="s">
        <v>146</v>
      </c>
      <c r="Q49" s="60" t="s">
        <v>1495</v>
      </c>
      <c r="R49" s="61" t="str">
        <f>VLOOKUP(Sheet_1_Table_1_136[[#This Row],[Learning Domain]],[19]List!$A$7:$B$12,2,0)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1887</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291</v>
      </c>
      <c r="BP49" s="69" t="s">
        <v>1896</v>
      </c>
      <c r="BQ49" s="69" t="s">
        <v>440</v>
      </c>
      <c r="BR49" s="57" t="s">
        <v>1897</v>
      </c>
      <c r="BS49" s="52"/>
      <c r="BT49" s="56"/>
      <c r="BU49" s="56"/>
      <c r="BV49" s="70"/>
      <c r="BW49" s="547">
        <v>100</v>
      </c>
      <c r="BX49" s="151"/>
      <c r="BY49" s="69" t="s">
        <v>149</v>
      </c>
      <c r="BZ49" s="69"/>
      <c r="CA49" s="55" t="s">
        <v>1638</v>
      </c>
      <c r="CB49" s="72"/>
      <c r="CC49" s="72"/>
      <c r="CD49" s="71"/>
      <c r="CE49" s="60" t="s">
        <v>1898</v>
      </c>
      <c r="CF49" s="164" t="s">
        <v>1899</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1900</v>
      </c>
      <c r="D50" s="50" t="s">
        <v>174</v>
      </c>
      <c r="E50" s="51">
        <v>5955</v>
      </c>
      <c r="F50" s="471" t="s">
        <v>1858</v>
      </c>
      <c r="G50" s="53" t="s">
        <v>1617</v>
      </c>
      <c r="H50" s="80" t="s">
        <v>1859</v>
      </c>
      <c r="I50" s="300" t="s">
        <v>1860</v>
      </c>
      <c r="J50" s="541" t="s">
        <v>1901</v>
      </c>
      <c r="K50" s="531" t="s">
        <v>1902</v>
      </c>
      <c r="L50" s="55"/>
      <c r="M50" s="56" t="s">
        <v>1903</v>
      </c>
      <c r="N50" s="57" t="s">
        <v>1904</v>
      </c>
      <c r="O50" s="548" t="s">
        <v>146</v>
      </c>
      <c r="P50" s="549" t="s">
        <v>146</v>
      </c>
      <c r="Q50" s="222" t="s">
        <v>1495</v>
      </c>
      <c r="R50" s="61" t="str">
        <f>VLOOKUP(Sheet_1_Table_1_136[[#This Row],[Learning Domain]],[19]List!$A$7:$B$12,2,0)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1905</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1906</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291</v>
      </c>
      <c r="BP50" s="69" t="s">
        <v>1907</v>
      </c>
      <c r="BQ50" s="69" t="s">
        <v>1908</v>
      </c>
      <c r="BR50" s="57" t="s">
        <v>1889</v>
      </c>
      <c r="BS50" s="52"/>
      <c r="BT50" s="56"/>
      <c r="BU50" s="56"/>
      <c r="BV50" s="70"/>
      <c r="BW50" s="141"/>
      <c r="BX50" s="151"/>
      <c r="BY50" s="69" t="s">
        <v>149</v>
      </c>
      <c r="BZ50" s="69"/>
      <c r="CA50" s="542" t="s">
        <v>1638</v>
      </c>
      <c r="CB50" s="72"/>
      <c r="CC50" s="72"/>
      <c r="CD50" s="71"/>
      <c r="CE50" s="60" t="s">
        <v>1909</v>
      </c>
      <c r="CF50" s="164" t="s">
        <v>1910</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1911</v>
      </c>
      <c r="D51" s="50" t="s">
        <v>204</v>
      </c>
      <c r="E51" s="51">
        <v>5956</v>
      </c>
      <c r="F51" s="471" t="s">
        <v>1858</v>
      </c>
      <c r="G51" s="53" t="s">
        <v>1617</v>
      </c>
      <c r="H51" s="80" t="s">
        <v>1859</v>
      </c>
      <c r="I51" s="300" t="s">
        <v>1860</v>
      </c>
      <c r="J51" s="60" t="s">
        <v>1912</v>
      </c>
      <c r="K51" s="55" t="s">
        <v>1913</v>
      </c>
      <c r="L51" s="55"/>
      <c r="M51" s="56" t="s">
        <v>1914</v>
      </c>
      <c r="N51" s="57" t="s">
        <v>1915</v>
      </c>
      <c r="O51" s="54" t="s">
        <v>146</v>
      </c>
      <c r="P51" s="59" t="s">
        <v>146</v>
      </c>
      <c r="Q51" s="222" t="s">
        <v>1495</v>
      </c>
      <c r="R51" s="77" t="str">
        <f>VLOOKUP(Sheet_1_Table_1_136[[#This Row],[Learning Domain]],[19]List!$A$7:$B$12,2,0)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1916</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1917</v>
      </c>
      <c r="BQ51" s="69" t="s">
        <v>1229</v>
      </c>
      <c r="BR51" s="57" t="s">
        <v>1918</v>
      </c>
      <c r="BS51" s="52"/>
      <c r="BT51" s="56"/>
      <c r="BU51" s="56"/>
      <c r="BV51" s="70"/>
      <c r="BW51" s="141"/>
      <c r="BX51" s="151"/>
      <c r="BY51" s="56"/>
      <c r="BZ51" s="56"/>
      <c r="CA51" s="55" t="s">
        <v>1638</v>
      </c>
      <c r="CB51" s="72"/>
      <c r="CC51" s="72"/>
      <c r="CD51" s="71"/>
      <c r="CE51" s="60" t="s">
        <v>1867</v>
      </c>
      <c r="CF51" s="164" t="s">
        <v>1868</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1919</v>
      </c>
      <c r="D52" s="50" t="s">
        <v>133</v>
      </c>
      <c r="E52" s="51">
        <v>5957</v>
      </c>
      <c r="F52" s="471" t="s">
        <v>1920</v>
      </c>
      <c r="G52" s="472" t="s">
        <v>1617</v>
      </c>
      <c r="H52" s="199" t="s">
        <v>1921</v>
      </c>
      <c r="I52" s="207" t="s">
        <v>1922</v>
      </c>
      <c r="J52" s="60"/>
      <c r="K52" s="55" t="s">
        <v>1923</v>
      </c>
      <c r="L52" s="55"/>
      <c r="M52" s="56" t="s">
        <v>1924</v>
      </c>
      <c r="N52" s="57" t="s">
        <v>1925</v>
      </c>
      <c r="O52" s="58" t="s">
        <v>142</v>
      </c>
      <c r="P52" s="96" t="s">
        <v>142</v>
      </c>
      <c r="Q52" s="222" t="s">
        <v>1495</v>
      </c>
      <c r="R52" s="61" t="str">
        <f>VLOOKUP(Sheet_1_Table_1_136[[#This Row],[Learning Domain]],[19]List!$A$7:$B$12,2,0)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41" t="s">
        <v>1926</v>
      </c>
      <c r="AP52" s="68"/>
      <c r="AQ52" s="64" t="e">
        <f>WEEKDAY([21]!Sheet_1_Table_1_13[[#This Row],[Lesson 2
Date 
(DD-MMM-YYYY)]])</f>
        <v>#REF!</v>
      </c>
      <c r="AR52" s="65"/>
      <c r="AS52" s="66"/>
      <c r="AT52" s="66"/>
      <c r="AU52" s="63"/>
      <c r="AV52" s="64" t="e">
        <f>WEEKDAY([21]!Sheet_1_Table_1_13[[#This Row],[Lesson 3
Date 
(DD-MMM-YYYY)]])</f>
        <v>#REF!</v>
      </c>
      <c r="AW52" s="65"/>
      <c r="AX52" s="66"/>
      <c r="AY52" s="67"/>
      <c r="AZ52" s="68"/>
      <c r="BA52" s="64" t="e">
        <f>WEEKDAY([21]!Sheet_1_Table_1_13[[#This Row],[Lesson 4
Date 
(DD-MMM-YYYY)]])</f>
        <v>#REF!</v>
      </c>
      <c r="BB52" s="65"/>
      <c r="BC52" s="66"/>
      <c r="BD52" s="66"/>
      <c r="BE52" s="63"/>
      <c r="BF52" s="64" t="e">
        <f>WEEKDAY([21]!Sheet_1_Table_1_13[[#This Row],[Lesson 5
Date 
(DD-MMM-YYYY)]])</f>
        <v>#REF!</v>
      </c>
      <c r="BG52" s="65"/>
      <c r="BH52" s="66"/>
      <c r="BI52" s="67"/>
      <c r="BJ52" s="68"/>
      <c r="BK52" s="64" t="e">
        <f>WEEKDAY([21]!Sheet_1_Table_1_13[[#This Row],[Lesson 6
Date 
(DD-MMM-YYYY)]])</f>
        <v>#REF!</v>
      </c>
      <c r="BL52" s="65"/>
      <c r="BM52" s="66"/>
      <c r="BN52" s="66"/>
      <c r="BO52" s="54"/>
      <c r="BP52" s="55" t="s">
        <v>1927</v>
      </c>
      <c r="BQ52" s="55"/>
      <c r="BR52" s="57" t="s">
        <v>184</v>
      </c>
      <c r="BS52" s="52"/>
      <c r="BT52" s="56"/>
      <c r="BU52" s="56"/>
      <c r="BV52" s="70"/>
      <c r="BW52" s="60"/>
      <c r="BX52" s="71"/>
      <c r="BY52" s="56" t="s">
        <v>149</v>
      </c>
      <c r="BZ52" s="56"/>
      <c r="CA52" s="56" t="s">
        <v>149</v>
      </c>
      <c r="CB52" s="72"/>
      <c r="CC52" s="72"/>
      <c r="CD52" s="71"/>
      <c r="CE52" s="54" t="s">
        <v>1928</v>
      </c>
      <c r="CF52" s="480" t="s">
        <v>1929</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205" t="s">
        <v>1930</v>
      </c>
      <c r="D53" s="205" t="s">
        <v>250</v>
      </c>
      <c r="E53" s="206">
        <v>5958</v>
      </c>
      <c r="F53" s="471" t="s">
        <v>1920</v>
      </c>
      <c r="G53" s="472" t="s">
        <v>1617</v>
      </c>
      <c r="H53" s="199" t="s">
        <v>1921</v>
      </c>
      <c r="I53" s="207" t="s">
        <v>1922</v>
      </c>
      <c r="J53" s="55" t="s">
        <v>1931</v>
      </c>
      <c r="K53" s="55" t="s">
        <v>1932</v>
      </c>
      <c r="L53" s="55"/>
      <c r="M53" s="56" t="s">
        <v>1933</v>
      </c>
      <c r="N53" s="219" t="s">
        <v>1934</v>
      </c>
      <c r="O53" s="58" t="s">
        <v>146</v>
      </c>
      <c r="P53" s="59" t="s">
        <v>146</v>
      </c>
      <c r="Q53" s="222" t="s">
        <v>1495</v>
      </c>
      <c r="R53" s="61" t="str">
        <f>VLOOKUP(Sheet_1_Table_1_136[[#This Row],[Learning Domain]],[19]List!$A$7:$B$12,2,0)</f>
        <v>RE</v>
      </c>
      <c r="S53" s="55">
        <v>0</v>
      </c>
      <c r="T53" s="55">
        <v>0</v>
      </c>
      <c r="U53" s="55">
        <v>60</v>
      </c>
      <c r="V53" s="55">
        <v>20</v>
      </c>
      <c r="W53" s="55">
        <v>0</v>
      </c>
      <c r="X53" s="55">
        <v>20</v>
      </c>
      <c r="Y53" s="55">
        <v>0</v>
      </c>
      <c r="Z53" s="55">
        <v>0</v>
      </c>
      <c r="AA53" s="55">
        <v>0</v>
      </c>
      <c r="AB53" s="53">
        <v>100</v>
      </c>
      <c r="AC53" s="52" t="s">
        <v>199</v>
      </c>
      <c r="AD53" s="209" t="s">
        <v>190</v>
      </c>
      <c r="AE53" s="209" t="s">
        <v>146</v>
      </c>
      <c r="AF53" s="209" t="s">
        <v>146</v>
      </c>
      <c r="AG53" s="209" t="s">
        <v>146</v>
      </c>
      <c r="AH53" s="209">
        <v>1</v>
      </c>
      <c r="AI53" s="55">
        <v>20</v>
      </c>
      <c r="AJ53" s="62">
        <f>Sheet_1_Table_1_136[[#This Row],[ILP Units Per Session]]*Sheet_1_Table_1_136[[#This Row],[Quota]]</f>
        <v>20</v>
      </c>
      <c r="AK53" s="211">
        <v>46287</v>
      </c>
      <c r="AL53" s="64">
        <f>WEEKDAY(Sheet_1_Table_1_136[[#This Row],[Lesson 1 
Date 
(DD-MMM-YYYY)]])</f>
        <v>3</v>
      </c>
      <c r="AM53" s="212">
        <v>0.83333333333333337</v>
      </c>
      <c r="AN53" s="213">
        <v>0.875</v>
      </c>
      <c r="AO53" s="441" t="s">
        <v>1926</v>
      </c>
      <c r="AP53" s="68"/>
      <c r="AQ53" s="64" t="e">
        <f>WEEKDAY([21]!Sheet_1_Table_1_13[[#This Row],[Lesson 2
Date 
(DD-MMM-YYYY)]])</f>
        <v>#REF!</v>
      </c>
      <c r="AR53" s="65"/>
      <c r="AS53" s="66"/>
      <c r="AT53" s="66"/>
      <c r="AU53" s="211"/>
      <c r="AV53" s="165" t="e">
        <f>WEEKDAY([21]!Sheet_1_Table_1_13[[#This Row],[Lesson 3
Date 
(DD-MMM-YYYY)]])</f>
        <v>#REF!</v>
      </c>
      <c r="AW53" s="212"/>
      <c r="AX53" s="213"/>
      <c r="AY53" s="215"/>
      <c r="AZ53" s="68"/>
      <c r="BA53" s="64" t="e">
        <f>WEEKDAY([21]!Sheet_1_Table_1_13[[#This Row],[Lesson 4
Date 
(DD-MMM-YYYY)]])</f>
        <v>#REF!</v>
      </c>
      <c r="BB53" s="65"/>
      <c r="BC53" s="66"/>
      <c r="BD53" s="66"/>
      <c r="BE53" s="211"/>
      <c r="BF53" s="165" t="e">
        <f>WEEKDAY([21]!Sheet_1_Table_1_13[[#This Row],[Lesson 5
Date 
(DD-MMM-YYYY)]])</f>
        <v>#REF!</v>
      </c>
      <c r="BG53" s="212"/>
      <c r="BH53" s="213"/>
      <c r="BI53" s="215"/>
      <c r="BJ53" s="68"/>
      <c r="BK53" s="165" t="e">
        <f>WEEKDAY([21]!Sheet_1_Table_1_13[[#This Row],[Lesson 6
Date 
(DD-MMM-YYYY)]])</f>
        <v>#REF!</v>
      </c>
      <c r="BL53" s="212"/>
      <c r="BM53" s="213"/>
      <c r="BN53" s="213"/>
      <c r="BO53" s="550" t="s">
        <v>287</v>
      </c>
      <c r="BP53" s="551" t="s">
        <v>439</v>
      </c>
      <c r="BQ53" s="551" t="s">
        <v>1652</v>
      </c>
      <c r="BR53" s="552" t="s">
        <v>1935</v>
      </c>
      <c r="BS53" s="52"/>
      <c r="BT53" s="218"/>
      <c r="BU53" s="218"/>
      <c r="BV53" s="70"/>
      <c r="BW53" s="60"/>
      <c r="BX53" s="71"/>
      <c r="BY53" s="218" t="s">
        <v>184</v>
      </c>
      <c r="BZ53" s="218"/>
      <c r="CA53" s="218" t="s">
        <v>1936</v>
      </c>
      <c r="CB53" s="220"/>
      <c r="CC53" s="220"/>
      <c r="CD53" s="221"/>
      <c r="CE53" s="553" t="s">
        <v>1937</v>
      </c>
      <c r="CF53" s="554" t="s">
        <v>1938</v>
      </c>
      <c r="CG53" s="56"/>
      <c r="CH53" s="57"/>
      <c r="CI53" s="223"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1939</v>
      </c>
      <c r="D54" s="50" t="s">
        <v>250</v>
      </c>
      <c r="E54" s="206">
        <v>5959</v>
      </c>
      <c r="F54" s="471" t="s">
        <v>1920</v>
      </c>
      <c r="G54" s="472" t="s">
        <v>1617</v>
      </c>
      <c r="H54" s="199" t="s">
        <v>1921</v>
      </c>
      <c r="I54" s="207" t="s">
        <v>1922</v>
      </c>
      <c r="J54" s="55" t="s">
        <v>1940</v>
      </c>
      <c r="K54" s="55" t="s">
        <v>1941</v>
      </c>
      <c r="L54" s="55"/>
      <c r="M54" s="56" t="s">
        <v>1942</v>
      </c>
      <c r="N54" s="219" t="s">
        <v>1943</v>
      </c>
      <c r="O54" s="58" t="s">
        <v>146</v>
      </c>
      <c r="P54" s="59" t="s">
        <v>146</v>
      </c>
      <c r="Q54" s="222" t="s">
        <v>1495</v>
      </c>
      <c r="R54" s="61" t="str">
        <f>VLOOKUP(Sheet_1_Table_1_136[[#This Row],[Learning Domain]],[19]List!$A$7:$B$12,2,0)</f>
        <v>RE</v>
      </c>
      <c r="S54" s="55">
        <v>20</v>
      </c>
      <c r="T54" s="55">
        <v>0</v>
      </c>
      <c r="U54" s="55">
        <v>0</v>
      </c>
      <c r="V54" s="55">
        <v>20</v>
      </c>
      <c r="W54" s="55">
        <v>0</v>
      </c>
      <c r="X54" s="55">
        <v>60</v>
      </c>
      <c r="Y54" s="55">
        <v>0</v>
      </c>
      <c r="Z54" s="55">
        <v>0</v>
      </c>
      <c r="AA54" s="55">
        <v>0</v>
      </c>
      <c r="AB54" s="53">
        <v>100</v>
      </c>
      <c r="AC54" s="52" t="s">
        <v>199</v>
      </c>
      <c r="AD54" s="209" t="s">
        <v>190</v>
      </c>
      <c r="AE54" s="209" t="s">
        <v>146</v>
      </c>
      <c r="AF54" s="209" t="s">
        <v>146</v>
      </c>
      <c r="AG54" s="209" t="s">
        <v>146</v>
      </c>
      <c r="AH54" s="209">
        <v>1</v>
      </c>
      <c r="AI54" s="55">
        <v>20</v>
      </c>
      <c r="AJ54" s="62">
        <f>Sheet_1_Table_1_136[[#This Row],[ILP Units Per Session]]*Sheet_1_Table_1_136[[#This Row],[Quota]]</f>
        <v>20</v>
      </c>
      <c r="AK54" s="211">
        <v>46294</v>
      </c>
      <c r="AL54" s="64">
        <f>WEEKDAY(Sheet_1_Table_1_136[[#This Row],[Lesson 1 
Date 
(DD-MMM-YYYY)]])</f>
        <v>3</v>
      </c>
      <c r="AM54" s="212">
        <v>0.83333333333333337</v>
      </c>
      <c r="AN54" s="213">
        <v>0.875</v>
      </c>
      <c r="AO54" s="67" t="s">
        <v>1944</v>
      </c>
      <c r="AP54" s="68"/>
      <c r="AQ54" s="64" t="e">
        <f>WEEKDAY([21]!Sheet_1_Table_1_13[[#This Row],[Lesson 2
Date 
(DD-MMM-YYYY)]])</f>
        <v>#REF!</v>
      </c>
      <c r="AR54" s="65"/>
      <c r="AS54" s="66"/>
      <c r="AT54" s="66"/>
      <c r="AU54" s="211"/>
      <c r="AV54" s="165" t="e">
        <f>WEEKDAY([21]!Sheet_1_Table_1_13[[#This Row],[Lesson 3
Date 
(DD-MMM-YYYY)]])</f>
        <v>#REF!</v>
      </c>
      <c r="AW54" s="212"/>
      <c r="AX54" s="213"/>
      <c r="AY54" s="215"/>
      <c r="AZ54" s="68"/>
      <c r="BA54" s="64" t="e">
        <f>WEEKDAY([21]!Sheet_1_Table_1_13[[#This Row],[Lesson 4
Date 
(DD-MMM-YYYY)]])</f>
        <v>#REF!</v>
      </c>
      <c r="BB54" s="65"/>
      <c r="BC54" s="66"/>
      <c r="BD54" s="66"/>
      <c r="BE54" s="211"/>
      <c r="BF54" s="165" t="e">
        <f>WEEKDAY([21]!Sheet_1_Table_1_13[[#This Row],[Lesson 5
Date 
(DD-MMM-YYYY)]])</f>
        <v>#REF!</v>
      </c>
      <c r="BG54" s="212"/>
      <c r="BH54" s="213"/>
      <c r="BI54" s="215"/>
      <c r="BJ54" s="68"/>
      <c r="BK54" s="165" t="e">
        <f>WEEKDAY([21]!Sheet_1_Table_1_13[[#This Row],[Lesson 6
Date 
(DD-MMM-YYYY)]])</f>
        <v>#REF!</v>
      </c>
      <c r="BL54" s="212"/>
      <c r="BM54" s="213"/>
      <c r="BN54" s="213"/>
      <c r="BO54" s="550" t="s">
        <v>287</v>
      </c>
      <c r="BP54" s="551" t="s">
        <v>439</v>
      </c>
      <c r="BQ54" s="551" t="s">
        <v>1652</v>
      </c>
      <c r="BR54" s="552" t="s">
        <v>1935</v>
      </c>
      <c r="BS54" s="52"/>
      <c r="BT54" s="218"/>
      <c r="BU54" s="218"/>
      <c r="BV54" s="70"/>
      <c r="BW54" s="60"/>
      <c r="BX54" s="71"/>
      <c r="BY54" s="218"/>
      <c r="BZ54" s="218"/>
      <c r="CA54" s="218" t="s">
        <v>1936</v>
      </c>
      <c r="CB54" s="220"/>
      <c r="CC54" s="220"/>
      <c r="CD54" s="221"/>
      <c r="CE54" s="553" t="s">
        <v>1937</v>
      </c>
      <c r="CF54" s="554" t="s">
        <v>1938</v>
      </c>
      <c r="CG54" s="56"/>
      <c r="CH54" s="57"/>
      <c r="CI54" s="223"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row>
    <row r="55" spans="1:156" ht="90">
      <c r="A55" s="48">
        <v>53</v>
      </c>
      <c r="B55" s="49">
        <v>202609</v>
      </c>
      <c r="C55" s="50" t="s">
        <v>1945</v>
      </c>
      <c r="D55" s="50" t="s">
        <v>250</v>
      </c>
      <c r="E55" s="51">
        <v>5960</v>
      </c>
      <c r="F55" s="471" t="s">
        <v>1920</v>
      </c>
      <c r="G55" s="472" t="s">
        <v>1617</v>
      </c>
      <c r="H55" s="199" t="s">
        <v>1921</v>
      </c>
      <c r="I55" s="207" t="s">
        <v>1922</v>
      </c>
      <c r="J55" s="55" t="s">
        <v>1946</v>
      </c>
      <c r="K55" s="55" t="s">
        <v>1947</v>
      </c>
      <c r="L55" s="55"/>
      <c r="M55" s="56" t="s">
        <v>1948</v>
      </c>
      <c r="N55" s="57" t="s">
        <v>1949</v>
      </c>
      <c r="O55" s="78" t="s">
        <v>146</v>
      </c>
      <c r="P55" s="59" t="s">
        <v>146</v>
      </c>
      <c r="Q55" s="222" t="s">
        <v>1495</v>
      </c>
      <c r="R55" s="61" t="str">
        <f>VLOOKUP(Sheet_1_Table_1_136[[#This Row],[Learning Domain]],[19]List!$A$7:$B$12,2,0)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9">
        <v>0.77083333333333337</v>
      </c>
      <c r="AN55" s="440">
        <v>0.85416666666666663</v>
      </c>
      <c r="AO55" s="441" t="s">
        <v>1950</v>
      </c>
      <c r="AP55" s="68"/>
      <c r="AQ55" s="64" t="e">
        <f>WEEKDAY([21]!Sheet_1_Table_1_13[[#This Row],[Lesson 2
Date 
(DD-MMM-YYYY)]])</f>
        <v>#REF!</v>
      </c>
      <c r="AR55" s="65"/>
      <c r="AS55" s="66"/>
      <c r="AT55" s="66"/>
      <c r="AU55" s="63"/>
      <c r="AV55" s="64" t="e">
        <f>WEEKDAY([21]!Sheet_1_Table_1_13[[#This Row],[Lesson 3
Date 
(DD-MMM-YYYY)]])</f>
        <v>#REF!</v>
      </c>
      <c r="AW55" s="65"/>
      <c r="AX55" s="66"/>
      <c r="AY55" s="67"/>
      <c r="AZ55" s="68"/>
      <c r="BA55" s="64" t="e">
        <f>WEEKDAY([21]!Sheet_1_Table_1_13[[#This Row],[Lesson 4
Date 
(DD-MMM-YYYY)]])</f>
        <v>#REF!</v>
      </c>
      <c r="BB55" s="65"/>
      <c r="BC55" s="66"/>
      <c r="BD55" s="66"/>
      <c r="BE55" s="63"/>
      <c r="BF55" s="64" t="e">
        <f>WEEKDAY([21]!Sheet_1_Table_1_13[[#This Row],[Lesson 5
Date 
(DD-MMM-YYYY)]])</f>
        <v>#REF!</v>
      </c>
      <c r="BG55" s="65"/>
      <c r="BH55" s="66"/>
      <c r="BI55" s="67"/>
      <c r="BJ55" s="68"/>
      <c r="BK55" s="64" t="e">
        <f>WEEKDAY([21]!Sheet_1_Table_1_13[[#This Row],[Lesson 6
Date 
(DD-MMM-YYYY)]])</f>
        <v>#REF!</v>
      </c>
      <c r="BL55" s="65"/>
      <c r="BM55" s="66"/>
      <c r="BN55" s="66"/>
      <c r="BO55" s="54"/>
      <c r="BP55" s="55" t="s">
        <v>1951</v>
      </c>
      <c r="BQ55" s="55"/>
      <c r="BR55" s="57"/>
      <c r="BS55" s="52"/>
      <c r="BT55" s="69"/>
      <c r="BU55" s="55"/>
      <c r="BV55" s="70"/>
      <c r="BW55" s="60"/>
      <c r="BX55" s="181">
        <v>200</v>
      </c>
      <c r="BY55" s="56" t="s">
        <v>149</v>
      </c>
      <c r="BZ55" s="56"/>
      <c r="CA55" s="218" t="s">
        <v>1936</v>
      </c>
      <c r="CB55" s="72"/>
      <c r="CC55" s="72"/>
      <c r="CD55" s="71"/>
      <c r="CE55" s="216" t="s">
        <v>1928</v>
      </c>
      <c r="CF55" s="484" t="s">
        <v>1929</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row>
    <row r="56" spans="1:156" ht="105">
      <c r="A56" s="48">
        <v>54</v>
      </c>
      <c r="B56" s="49">
        <v>202609</v>
      </c>
      <c r="C56" s="50" t="s">
        <v>1952</v>
      </c>
      <c r="D56" s="50" t="s">
        <v>174</v>
      </c>
      <c r="E56" s="51">
        <v>5961</v>
      </c>
      <c r="F56" s="471" t="s">
        <v>1920</v>
      </c>
      <c r="G56" s="472" t="s">
        <v>1617</v>
      </c>
      <c r="H56" s="199" t="s">
        <v>1921</v>
      </c>
      <c r="I56" s="207" t="s">
        <v>1922</v>
      </c>
      <c r="J56" s="55" t="s">
        <v>1953</v>
      </c>
      <c r="K56" s="55" t="s">
        <v>1954</v>
      </c>
      <c r="L56" s="55"/>
      <c r="M56" s="56" t="s">
        <v>1955</v>
      </c>
      <c r="N56" s="57" t="s">
        <v>1956</v>
      </c>
      <c r="O56" s="78" t="s">
        <v>146</v>
      </c>
      <c r="P56" s="59" t="s">
        <v>146</v>
      </c>
      <c r="Q56" s="222" t="s">
        <v>1495</v>
      </c>
      <c r="R56" s="61" t="str">
        <f>VLOOKUP(Sheet_1_Table_1_136[[#This Row],[Learning Domain]],[19]List!$A$7:$B$12,2,0)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41" t="s">
        <v>1957</v>
      </c>
      <c r="AP56" s="68"/>
      <c r="AQ56" s="64" t="e">
        <f>WEEKDAY([21]!Sheet_1_Table_1_13[[#This Row],[Lesson 2
Date 
(DD-MMM-YYYY)]])</f>
        <v>#REF!</v>
      </c>
      <c r="AR56" s="65"/>
      <c r="AS56" s="66"/>
      <c r="AT56" s="66"/>
      <c r="AU56" s="63"/>
      <c r="AV56" s="64" t="e">
        <f>WEEKDAY([21]!Sheet_1_Table_1_13[[#This Row],[Lesson 3
Date 
(DD-MMM-YYYY)]])</f>
        <v>#REF!</v>
      </c>
      <c r="AW56" s="65"/>
      <c r="AX56" s="66"/>
      <c r="AY56" s="67"/>
      <c r="AZ56" s="68"/>
      <c r="BA56" s="64" t="e">
        <f>WEEKDAY([21]!Sheet_1_Table_1_13[[#This Row],[Lesson 4
Date 
(DD-MMM-YYYY)]])</f>
        <v>#REF!</v>
      </c>
      <c r="BB56" s="65"/>
      <c r="BC56" s="66"/>
      <c r="BD56" s="66"/>
      <c r="BE56" s="63"/>
      <c r="BF56" s="64" t="e">
        <f>WEEKDAY([21]!Sheet_1_Table_1_13[[#This Row],[Lesson 5
Date 
(DD-MMM-YYYY)]])</f>
        <v>#REF!</v>
      </c>
      <c r="BG56" s="65"/>
      <c r="BH56" s="66"/>
      <c r="BI56" s="67"/>
      <c r="BJ56" s="68"/>
      <c r="BK56" s="64" t="e">
        <f>WEEKDAY([21]!Sheet_1_Table_1_13[[#This Row],[Lesson 6
Date 
(DD-MMM-YYYY)]])</f>
        <v>#REF!</v>
      </c>
      <c r="BL56" s="65"/>
      <c r="BM56" s="66"/>
      <c r="BN56" s="66"/>
      <c r="BO56" s="54" t="s">
        <v>163</v>
      </c>
      <c r="BP56" s="55" t="s">
        <v>1958</v>
      </c>
      <c r="BQ56" s="55" t="s">
        <v>888</v>
      </c>
      <c r="BR56" s="53" t="s">
        <v>1959</v>
      </c>
      <c r="BS56" s="52"/>
      <c r="BT56" s="69"/>
      <c r="BU56" s="55"/>
      <c r="BV56" s="70"/>
      <c r="BW56" s="60"/>
      <c r="BX56" s="181">
        <v>100</v>
      </c>
      <c r="BY56" s="56" t="s">
        <v>149</v>
      </c>
      <c r="BZ56" s="56"/>
      <c r="CA56" s="218" t="s">
        <v>1936</v>
      </c>
      <c r="CB56" s="72"/>
      <c r="CC56" s="72"/>
      <c r="CD56" s="71"/>
      <c r="CE56" s="216" t="s">
        <v>1928</v>
      </c>
      <c r="CF56" s="484" t="s">
        <v>1929</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row>
    <row r="57" spans="1:156" ht="120">
      <c r="A57" s="48">
        <v>55</v>
      </c>
      <c r="B57" s="49">
        <v>202609</v>
      </c>
      <c r="C57" s="50" t="s">
        <v>1960</v>
      </c>
      <c r="D57" s="171" t="s">
        <v>1961</v>
      </c>
      <c r="E57" s="51">
        <v>5962</v>
      </c>
      <c r="F57" s="471" t="s">
        <v>1920</v>
      </c>
      <c r="G57" s="472" t="s">
        <v>1617</v>
      </c>
      <c r="H57" s="199" t="s">
        <v>1921</v>
      </c>
      <c r="I57" s="207" t="s">
        <v>1922</v>
      </c>
      <c r="J57" s="55" t="s">
        <v>1962</v>
      </c>
      <c r="K57" s="55" t="s">
        <v>1963</v>
      </c>
      <c r="L57" s="55"/>
      <c r="M57" s="56" t="s">
        <v>1964</v>
      </c>
      <c r="N57" s="57" t="s">
        <v>1965</v>
      </c>
      <c r="O57" s="78" t="s">
        <v>146</v>
      </c>
      <c r="P57" s="59" t="s">
        <v>146</v>
      </c>
      <c r="Q57" s="222" t="s">
        <v>1495</v>
      </c>
      <c r="R57" s="61" t="str">
        <f>VLOOKUP(Sheet_1_Table_1_136[[#This Row],[Learning Domain]],[19]List!$A$7:$B$12,2,0)</f>
        <v>RE</v>
      </c>
      <c r="S57" s="55">
        <v>0</v>
      </c>
      <c r="T57" s="55">
        <v>0</v>
      </c>
      <c r="U57" s="55">
        <v>0</v>
      </c>
      <c r="V57" s="55">
        <v>30</v>
      </c>
      <c r="W57" s="55">
        <v>0</v>
      </c>
      <c r="X57" s="55">
        <v>70</v>
      </c>
      <c r="Y57" s="55">
        <v>0</v>
      </c>
      <c r="Z57" s="55">
        <v>0</v>
      </c>
      <c r="AA57" s="55">
        <v>0</v>
      </c>
      <c r="AB57" s="53">
        <v>100</v>
      </c>
      <c r="AC57" s="52" t="s">
        <v>244</v>
      </c>
      <c r="AD57" s="55" t="s">
        <v>190</v>
      </c>
      <c r="AE57" s="55" t="s">
        <v>142</v>
      </c>
      <c r="AF57" s="55" t="s">
        <v>146</v>
      </c>
      <c r="AG57" s="55" t="s">
        <v>142</v>
      </c>
      <c r="AH57" s="55">
        <v>1</v>
      </c>
      <c r="AI57" s="55">
        <v>20</v>
      </c>
      <c r="AJ57" s="62">
        <f>Sheet_1_Table_1_136[[#This Row],[ILP Units Per Session]]*Sheet_1_Table_1_136[[#This Row],[Quota]]</f>
        <v>20</v>
      </c>
      <c r="AK57" s="555">
        <v>46361</v>
      </c>
      <c r="AL57" s="64">
        <f>WEEKDAY(Sheet_1_Table_1_136[[#This Row],[Lesson 1 
Date 
(DD-MMM-YYYY)]])</f>
        <v>7</v>
      </c>
      <c r="AM57" s="556">
        <v>0.41666666666666669</v>
      </c>
      <c r="AN57" s="557">
        <v>0.5</v>
      </c>
      <c r="AO57" s="166" t="s">
        <v>1966</v>
      </c>
      <c r="AP57" s="68"/>
      <c r="AQ57" s="64" t="e">
        <f>WEEKDAY([21]!Sheet_1_Table_1_13[[#This Row],[Lesson 2
Date 
(DD-MMM-YYYY)]])</f>
        <v>#REF!</v>
      </c>
      <c r="AR57" s="65"/>
      <c r="AS57" s="66"/>
      <c r="AT57" s="66"/>
      <c r="AU57" s="63"/>
      <c r="AV57" s="165" t="e">
        <f>WEEKDAY([21]!Sheet_1_Table_1_13[[#This Row],[Lesson 3
Date 
(DD-MMM-YYYY)]])</f>
        <v>#REF!</v>
      </c>
      <c r="AW57" s="65"/>
      <c r="AX57" s="66"/>
      <c r="AY57" s="67"/>
      <c r="AZ57" s="68"/>
      <c r="BA57" s="64" t="e">
        <f>WEEKDAY([21]!Sheet_1_Table_1_13[[#This Row],[Lesson 4
Date 
(DD-MMM-YYYY)]])</f>
        <v>#REF!</v>
      </c>
      <c r="BB57" s="65"/>
      <c r="BC57" s="66"/>
      <c r="BD57" s="66"/>
      <c r="BE57" s="63"/>
      <c r="BF57" s="165" t="e">
        <f>WEEKDAY([21]!Sheet_1_Table_1_13[[#This Row],[Lesson 5
Date 
(DD-MMM-YYYY)]])</f>
        <v>#REF!</v>
      </c>
      <c r="BG57" s="65"/>
      <c r="BH57" s="66"/>
      <c r="BI57" s="67"/>
      <c r="BJ57" s="68"/>
      <c r="BK57" s="165" t="e">
        <f>WEEKDAY([21]!Sheet_1_Table_1_13[[#This Row],[Lesson 6
Date 
(DD-MMM-YYYY)]])</f>
        <v>#REF!</v>
      </c>
      <c r="BL57" s="65"/>
      <c r="BM57" s="66"/>
      <c r="BN57" s="66"/>
      <c r="BO57" s="54" t="s">
        <v>287</v>
      </c>
      <c r="BP57" s="55" t="s">
        <v>1967</v>
      </c>
      <c r="BQ57" s="55" t="s">
        <v>905</v>
      </c>
      <c r="BR57" s="53" t="s">
        <v>1968</v>
      </c>
      <c r="BS57" s="52"/>
      <c r="BT57" s="56"/>
      <c r="BU57" s="56"/>
      <c r="BV57" s="70"/>
      <c r="BW57" s="60"/>
      <c r="BX57" s="71"/>
      <c r="BY57" s="558">
        <v>0.41666666666666669</v>
      </c>
      <c r="BZ57" s="83" t="s">
        <v>1969</v>
      </c>
      <c r="CA57" s="444" t="s">
        <v>1970</v>
      </c>
      <c r="CB57" s="72"/>
      <c r="CC57" s="72"/>
      <c r="CD57" s="71"/>
      <c r="CE57" s="54" t="s">
        <v>1971</v>
      </c>
      <c r="CF57" s="480" t="s">
        <v>1972</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row>
    <row r="58" spans="1:156" ht="120">
      <c r="A58" s="48">
        <v>56</v>
      </c>
      <c r="B58" s="49">
        <v>202609</v>
      </c>
      <c r="C58" s="50" t="s">
        <v>1973</v>
      </c>
      <c r="D58" s="559" t="s">
        <v>174</v>
      </c>
      <c r="E58" s="51">
        <v>5964</v>
      </c>
      <c r="F58" s="560" t="s">
        <v>1974</v>
      </c>
      <c r="G58" s="472" t="s">
        <v>1975</v>
      </c>
      <c r="H58" s="199" t="s">
        <v>1976</v>
      </c>
      <c r="I58" s="207" t="s">
        <v>1977</v>
      </c>
      <c r="J58" s="60" t="s">
        <v>1978</v>
      </c>
      <c r="K58" s="56" t="s">
        <v>1979</v>
      </c>
      <c r="L58" s="55"/>
      <c r="M58" s="56" t="s">
        <v>1980</v>
      </c>
      <c r="N58" s="57" t="s">
        <v>1981</v>
      </c>
      <c r="O58" s="78" t="s">
        <v>146</v>
      </c>
      <c r="P58" s="59" t="s">
        <v>146</v>
      </c>
      <c r="Q58" s="222" t="s">
        <v>1495</v>
      </c>
      <c r="R58" s="61" t="str">
        <f>VLOOKUP(Sheet_1_Table_1_136[[#This Row],[Learning Domain]],[19]List!$A$7:$B$12,2,0)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61">
        <v>46307</v>
      </c>
      <c r="AL58" s="64">
        <f>WEEKDAY(Sheet_1_Table_1_136[[#This Row],[Lesson 1 
Date 
(DD-MMM-YYYY)]])</f>
        <v>2</v>
      </c>
      <c r="AM58" s="562">
        <v>0.79166666666666663</v>
      </c>
      <c r="AN58" s="563">
        <v>0.875</v>
      </c>
      <c r="AO58" s="564" t="s">
        <v>1982</v>
      </c>
      <c r="AP58" s="56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1983</v>
      </c>
      <c r="BQ58" s="55" t="s">
        <v>440</v>
      </c>
      <c r="BR58" s="56" t="s">
        <v>1984</v>
      </c>
      <c r="BS58" s="55"/>
      <c r="BT58" s="56"/>
      <c r="BU58" s="56"/>
      <c r="BV58" s="57"/>
      <c r="BW58" s="60"/>
      <c r="BX58" s="566">
        <v>100</v>
      </c>
      <c r="BY58" s="56"/>
      <c r="BZ58" s="56"/>
      <c r="CA58" s="218" t="s">
        <v>1936</v>
      </c>
      <c r="CB58" s="72"/>
      <c r="CC58" s="72"/>
      <c r="CD58" s="72"/>
      <c r="CE58" s="216" t="s">
        <v>1985</v>
      </c>
      <c r="CF58" s="484" t="s">
        <v>1986</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row>
    <row r="59" spans="1:156" ht="409.5">
      <c r="A59" s="48">
        <v>57</v>
      </c>
      <c r="B59" s="49">
        <v>202609</v>
      </c>
      <c r="C59" s="559" t="s">
        <v>1987</v>
      </c>
      <c r="D59" s="559" t="s">
        <v>174</v>
      </c>
      <c r="E59" s="567">
        <v>5967</v>
      </c>
      <c r="F59" s="560" t="s">
        <v>1974</v>
      </c>
      <c r="G59" s="472" t="s">
        <v>1975</v>
      </c>
      <c r="H59" s="199" t="s">
        <v>1976</v>
      </c>
      <c r="I59" s="207" t="s">
        <v>1977</v>
      </c>
      <c r="J59" s="568"/>
      <c r="K59" s="569" t="s">
        <v>1988</v>
      </c>
      <c r="L59" s="55"/>
      <c r="M59" s="570" t="s">
        <v>1989</v>
      </c>
      <c r="N59" s="308" t="s">
        <v>1990</v>
      </c>
      <c r="O59" s="571" t="s">
        <v>146</v>
      </c>
      <c r="P59" s="59" t="s">
        <v>146</v>
      </c>
      <c r="Q59" s="222" t="s">
        <v>1495</v>
      </c>
      <c r="R59" s="61" t="str">
        <f>VLOOKUP(Sheet_1_Table_1_136[[#This Row],[Learning Domain]],[19]List!$A$7:$B$12,2,0)</f>
        <v>RE</v>
      </c>
      <c r="S59" s="572">
        <v>0</v>
      </c>
      <c r="T59" s="572">
        <v>0</v>
      </c>
      <c r="U59" s="572">
        <v>20</v>
      </c>
      <c r="V59" s="572">
        <v>20</v>
      </c>
      <c r="W59" s="55">
        <v>0</v>
      </c>
      <c r="X59" s="55">
        <v>40</v>
      </c>
      <c r="Y59" s="572">
        <v>20</v>
      </c>
      <c r="Z59" s="572">
        <v>0</v>
      </c>
      <c r="AA59" s="572">
        <v>0</v>
      </c>
      <c r="AB59" s="53">
        <v>100</v>
      </c>
      <c r="AC59" s="305" t="s">
        <v>244</v>
      </c>
      <c r="AD59" s="572" t="s">
        <v>190</v>
      </c>
      <c r="AE59" s="55" t="s">
        <v>146</v>
      </c>
      <c r="AF59" s="572" t="s">
        <v>142</v>
      </c>
      <c r="AG59" s="572" t="s">
        <v>142</v>
      </c>
      <c r="AH59" s="573">
        <v>2</v>
      </c>
      <c r="AI59" s="572">
        <v>20</v>
      </c>
      <c r="AJ59" s="62">
        <f>Sheet_1_Table_1_136[[#This Row],[ILP Units Per Session]]*Sheet_1_Table_1_136[[#This Row],[Quota]]</f>
        <v>40</v>
      </c>
      <c r="AK59" s="184">
        <v>46311</v>
      </c>
      <c r="AL59" s="64">
        <f>WEEKDAY(Sheet_1_Table_1_136[[#This Row],[Lesson 1 
Date 
(DD-MMM-YYYY)]])</f>
        <v>6</v>
      </c>
      <c r="AM59" s="65">
        <v>0.41666666666666669</v>
      </c>
      <c r="AN59" s="66">
        <v>0.58333333333333337</v>
      </c>
      <c r="AO59" s="67" t="s">
        <v>1991</v>
      </c>
      <c r="AP59" s="56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74" t="s">
        <v>287</v>
      </c>
      <c r="BP59" s="569" t="s">
        <v>1992</v>
      </c>
      <c r="BQ59" s="569" t="s">
        <v>1993</v>
      </c>
      <c r="BR59" s="69" t="s">
        <v>1994</v>
      </c>
      <c r="BS59" s="574"/>
      <c r="BT59" s="575"/>
      <c r="BU59" s="575"/>
      <c r="BV59" s="576"/>
      <c r="BW59" s="577"/>
      <c r="BX59" s="578">
        <v>100</v>
      </c>
      <c r="BY59" s="579">
        <v>0.375</v>
      </c>
      <c r="BZ59" s="570" t="s">
        <v>1995</v>
      </c>
      <c r="CA59" s="570" t="s">
        <v>1996</v>
      </c>
      <c r="CB59" s="580"/>
      <c r="CC59" s="580"/>
      <c r="CD59" s="581"/>
      <c r="CE59" s="570" t="s">
        <v>1997</v>
      </c>
      <c r="CF59" s="582" t="s">
        <v>1998</v>
      </c>
      <c r="CG59" s="583"/>
      <c r="CH59" s="584"/>
      <c r="CI59" s="572" t="s">
        <v>146</v>
      </c>
      <c r="CJ59" s="572" t="s">
        <v>142</v>
      </c>
      <c r="CK59" s="572" t="s">
        <v>142</v>
      </c>
      <c r="CL59" s="572" t="s">
        <v>146</v>
      </c>
      <c r="CM59" s="52" t="s">
        <v>146</v>
      </c>
      <c r="CN59" s="572" t="s">
        <v>142</v>
      </c>
      <c r="CO59" s="572" t="s">
        <v>142</v>
      </c>
      <c r="CP59" s="572" t="s">
        <v>142</v>
      </c>
      <c r="CQ59" s="572" t="s">
        <v>142</v>
      </c>
      <c r="CR59" s="572" t="s">
        <v>142</v>
      </c>
      <c r="CS59" s="572" t="s">
        <v>142</v>
      </c>
      <c r="CT59" s="572" t="s">
        <v>142</v>
      </c>
      <c r="CU59" s="572" t="s">
        <v>146</v>
      </c>
      <c r="CV59" s="572" t="s">
        <v>146</v>
      </c>
      <c r="CW59" s="572" t="s">
        <v>142</v>
      </c>
      <c r="CX59" s="572" t="s">
        <v>142</v>
      </c>
      <c r="CY59" s="572" t="s">
        <v>142</v>
      </c>
      <c r="CZ59" s="585" t="s">
        <v>142</v>
      </c>
      <c r="DA59" s="586"/>
      <c r="DB59" s="587"/>
      <c r="DC59" s="587"/>
      <c r="DD59" s="587"/>
      <c r="DE59" s="587"/>
      <c r="DF59" s="587"/>
      <c r="DG59" s="588"/>
      <c r="DH59" s="588"/>
      <c r="DI59" s="588"/>
      <c r="DJ59" s="588"/>
      <c r="DK59" s="76" t="s">
        <v>146</v>
      </c>
      <c r="DL59" s="76" t="s">
        <v>146</v>
      </c>
      <c r="DM59" s="76" t="s">
        <v>146</v>
      </c>
    </row>
    <row r="60" spans="1:156" ht="195">
      <c r="A60" s="48">
        <v>58</v>
      </c>
      <c r="B60" s="589">
        <v>202609</v>
      </c>
      <c r="C60" s="587" t="s">
        <v>1999</v>
      </c>
      <c r="D60" s="590" t="s">
        <v>174</v>
      </c>
      <c r="E60" s="591">
        <v>5971</v>
      </c>
      <c r="F60" s="560" t="s">
        <v>1974</v>
      </c>
      <c r="G60" s="472" t="s">
        <v>1975</v>
      </c>
      <c r="H60" s="199" t="s">
        <v>1976</v>
      </c>
      <c r="I60" s="207" t="s">
        <v>1977</v>
      </c>
      <c r="J60" s="568"/>
      <c r="K60" s="570" t="s">
        <v>2000</v>
      </c>
      <c r="L60" s="572"/>
      <c r="M60" s="69" t="s">
        <v>2001</v>
      </c>
      <c r="N60" s="56" t="s">
        <v>2002</v>
      </c>
      <c r="O60" s="571" t="s">
        <v>146</v>
      </c>
      <c r="P60" s="59" t="s">
        <v>146</v>
      </c>
      <c r="Q60" s="222" t="s">
        <v>1495</v>
      </c>
      <c r="R60" s="61" t="str">
        <f>VLOOKUP(Sheet_1_Table_1_136[[#This Row],[Learning Domain]],[19]List!$A$7:$B$12,2,0)</f>
        <v>RE</v>
      </c>
      <c r="S60" s="572">
        <v>0</v>
      </c>
      <c r="T60" s="572">
        <v>0</v>
      </c>
      <c r="U60" s="572">
        <v>0</v>
      </c>
      <c r="V60" s="55">
        <v>0</v>
      </c>
      <c r="W60" s="572">
        <v>10</v>
      </c>
      <c r="X60" s="572">
        <v>90</v>
      </c>
      <c r="Y60" s="572">
        <v>0</v>
      </c>
      <c r="Z60" s="572">
        <v>0</v>
      </c>
      <c r="AA60" s="572">
        <v>0</v>
      </c>
      <c r="AB60" s="53">
        <v>100</v>
      </c>
      <c r="AC60" s="305" t="s">
        <v>244</v>
      </c>
      <c r="AD60" s="572" t="s">
        <v>145</v>
      </c>
      <c r="AE60" s="572" t="s">
        <v>146</v>
      </c>
      <c r="AF60" s="55" t="s">
        <v>142</v>
      </c>
      <c r="AG60" s="572" t="s">
        <v>142</v>
      </c>
      <c r="AH60" s="572">
        <v>1.5</v>
      </c>
      <c r="AI60" s="572">
        <v>25</v>
      </c>
      <c r="AJ60" s="62">
        <f>Sheet_1_Table_1_136[[#This Row],[ILP Units Per Session]]*Sheet_1_Table_1_136[[#This Row],[Quota]]</f>
        <v>37.5</v>
      </c>
      <c r="AK60" s="592">
        <v>46325</v>
      </c>
      <c r="AL60" s="64">
        <f>WEEKDAY(Sheet_1_Table_1_136[[#This Row],[Lesson 1 
Date 
(DD-MMM-YYYY)]])</f>
        <v>6</v>
      </c>
      <c r="AM60" s="575">
        <v>0.79166666666666663</v>
      </c>
      <c r="AN60" s="593">
        <v>0.85416666666666663</v>
      </c>
      <c r="AO60" s="594" t="s">
        <v>791</v>
      </c>
      <c r="AP60" s="595"/>
      <c r="AQ60" s="596">
        <f>WEEKDAY(Sheet_1_Table_1_136[[#This Row],[Lesson 2
Date 
(DD-MMM-YYYY)]])</f>
        <v>7</v>
      </c>
      <c r="AR60" s="575"/>
      <c r="AS60" s="593"/>
      <c r="AT60" s="594"/>
      <c r="AU60" s="592"/>
      <c r="AV60" s="596">
        <f>WEEKDAY(Sheet_1_Table_1_136[[#This Row],[Lesson 3
Date 
(DD-MMM-YYYY)]])</f>
        <v>7</v>
      </c>
      <c r="AW60" s="575"/>
      <c r="AX60" s="593"/>
      <c r="AY60" s="594"/>
      <c r="AZ60" s="597"/>
      <c r="BA60" s="596">
        <f>WEEKDAY(Sheet_1_Table_1_136[[#This Row],[Lesson 4
Date 
(DD-MMM-YYYY)]])</f>
        <v>7</v>
      </c>
      <c r="BB60" s="575"/>
      <c r="BC60" s="593"/>
      <c r="BD60" s="594"/>
      <c r="BE60" s="592"/>
      <c r="BF60" s="596">
        <f>WEEKDAY(Sheet_1_Table_1_136[[#This Row],[Lesson 5
Date 
(DD-MMM-YYYY)]])</f>
        <v>7</v>
      </c>
      <c r="BG60" s="575"/>
      <c r="BH60" s="593"/>
      <c r="BI60" s="594"/>
      <c r="BJ60" s="597"/>
      <c r="BK60" s="596">
        <f>WEEKDAY(Sheet_1_Table_1_136[[#This Row],[Lesson 6
Date 
(DD-MMM-YYYY)]])</f>
        <v>7</v>
      </c>
      <c r="BL60" s="575"/>
      <c r="BM60" s="593"/>
      <c r="BN60" s="598"/>
      <c r="BO60" s="55" t="s">
        <v>291</v>
      </c>
      <c r="BP60" s="69" t="s">
        <v>2003</v>
      </c>
      <c r="BQ60" s="55" t="s">
        <v>2004</v>
      </c>
      <c r="BR60" s="599" t="s">
        <v>2005</v>
      </c>
      <c r="BS60" s="586"/>
      <c r="BT60" s="570"/>
      <c r="BU60" s="570"/>
      <c r="BV60" s="308"/>
      <c r="BW60" s="568"/>
      <c r="BX60" s="578">
        <v>100</v>
      </c>
      <c r="BY60" s="570"/>
      <c r="BZ60" s="570"/>
      <c r="CA60" s="570" t="s">
        <v>1713</v>
      </c>
      <c r="CB60" s="600"/>
      <c r="CC60" s="600"/>
      <c r="CD60" s="601"/>
      <c r="CE60" s="55" t="s">
        <v>2006</v>
      </c>
      <c r="CF60" s="602" t="s">
        <v>2007</v>
      </c>
      <c r="CG60" s="56"/>
      <c r="CH60" s="308"/>
      <c r="CI60" s="52"/>
      <c r="CJ60" s="52"/>
      <c r="CK60" s="52"/>
      <c r="CL60" s="52"/>
      <c r="CM60" s="52" t="s">
        <v>146</v>
      </c>
      <c r="CN60" s="52"/>
      <c r="CO60" s="52"/>
      <c r="CP60" s="52"/>
      <c r="CQ60" s="52"/>
      <c r="CR60" s="52"/>
      <c r="CS60" s="52"/>
      <c r="CT60" s="52"/>
      <c r="CU60" s="52"/>
      <c r="CV60" s="52"/>
      <c r="CW60" s="52"/>
      <c r="CX60" s="52"/>
      <c r="CY60" s="52"/>
      <c r="CZ60" s="52"/>
      <c r="DA60" s="586"/>
      <c r="DB60" s="587"/>
      <c r="DC60" s="587"/>
      <c r="DD60" s="587"/>
      <c r="DE60" s="587"/>
      <c r="DF60" s="587"/>
      <c r="DG60" s="588"/>
      <c r="DH60" s="588"/>
      <c r="DI60" s="588"/>
      <c r="DJ60" s="588"/>
      <c r="DK60" s="76" t="s">
        <v>146</v>
      </c>
      <c r="DL60" s="76" t="s">
        <v>146</v>
      </c>
      <c r="DM60" s="76" t="s">
        <v>146</v>
      </c>
    </row>
    <row r="61" spans="1:156" ht="120">
      <c r="A61" s="48">
        <v>59</v>
      </c>
      <c r="B61" s="49">
        <v>202609</v>
      </c>
      <c r="C61" s="50" t="s">
        <v>2008</v>
      </c>
      <c r="D61" s="50" t="s">
        <v>133</v>
      </c>
      <c r="E61" s="51">
        <v>5972</v>
      </c>
      <c r="F61" s="54" t="s">
        <v>2009</v>
      </c>
      <c r="G61" s="53" t="s">
        <v>1617</v>
      </c>
      <c r="H61" s="95" t="s">
        <v>2010</v>
      </c>
      <c r="I61" s="84" t="s">
        <v>2011</v>
      </c>
      <c r="J61" s="60" t="s">
        <v>1861</v>
      </c>
      <c r="K61" s="55" t="s">
        <v>1779</v>
      </c>
      <c r="L61" s="55" t="s">
        <v>2012</v>
      </c>
      <c r="M61" s="56" t="s">
        <v>2013</v>
      </c>
      <c r="N61" s="57" t="s">
        <v>2014</v>
      </c>
      <c r="O61" s="162" t="s">
        <v>142</v>
      </c>
      <c r="P61" s="162" t="s">
        <v>142</v>
      </c>
      <c r="Q61" s="222" t="s">
        <v>1495</v>
      </c>
      <c r="R61" s="61" t="str">
        <f>VLOOKUP(Sheet_1_Table_1_136[[#This Row],[Learning Domain]],[19]List!$A$7:$B$12,2,0)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2015</v>
      </c>
      <c r="AP61" s="56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1498</v>
      </c>
      <c r="BP61" s="69" t="s">
        <v>2016</v>
      </c>
      <c r="BQ61" s="69" t="s">
        <v>2017</v>
      </c>
      <c r="BR61" s="57" t="s">
        <v>2018</v>
      </c>
      <c r="BS61" s="52"/>
      <c r="BT61" s="56"/>
      <c r="BU61" s="56"/>
      <c r="BV61" s="70"/>
      <c r="BW61" s="60"/>
      <c r="BX61" s="71"/>
      <c r="BY61" s="56"/>
      <c r="BZ61" s="56"/>
      <c r="CA61" s="56"/>
      <c r="CB61" s="72"/>
      <c r="CC61" s="72"/>
      <c r="CD61" s="71"/>
      <c r="CE61" s="60" t="s">
        <v>2019</v>
      </c>
      <c r="CF61" s="164" t="s">
        <v>2020</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row>
    <row r="62" spans="1:156" ht="120">
      <c r="A62" s="48">
        <v>60</v>
      </c>
      <c r="B62" s="49">
        <v>202609</v>
      </c>
      <c r="C62" s="50" t="s">
        <v>2008</v>
      </c>
      <c r="D62" s="50" t="s">
        <v>133</v>
      </c>
      <c r="E62" s="206">
        <v>5973</v>
      </c>
      <c r="F62" s="54" t="s">
        <v>2009</v>
      </c>
      <c r="G62" s="53" t="s">
        <v>1617</v>
      </c>
      <c r="H62" s="95" t="s">
        <v>2010</v>
      </c>
      <c r="I62" s="84" t="s">
        <v>2011</v>
      </c>
      <c r="J62" s="222" t="s">
        <v>1861</v>
      </c>
      <c r="K62" s="55" t="s">
        <v>1779</v>
      </c>
      <c r="L62" s="55" t="s">
        <v>2021</v>
      </c>
      <c r="M62" s="56" t="s">
        <v>2013</v>
      </c>
      <c r="N62" s="219" t="s">
        <v>2014</v>
      </c>
      <c r="O62" s="162" t="s">
        <v>142</v>
      </c>
      <c r="P62" s="162" t="s">
        <v>142</v>
      </c>
      <c r="Q62" s="222" t="s">
        <v>1495</v>
      </c>
      <c r="R62" s="61" t="str">
        <f>VLOOKUP(Sheet_1_Table_1_136[[#This Row],[Learning Domain]],[19]List!$A$7:$B$12,2,0)</f>
        <v>RE</v>
      </c>
      <c r="S62" s="55">
        <v>0</v>
      </c>
      <c r="T62" s="55">
        <v>0</v>
      </c>
      <c r="U62" s="55">
        <v>0</v>
      </c>
      <c r="V62" s="55">
        <v>0</v>
      </c>
      <c r="W62" s="55">
        <v>0</v>
      </c>
      <c r="X62" s="55">
        <v>80</v>
      </c>
      <c r="Y62" s="55">
        <v>20</v>
      </c>
      <c r="Z62" s="55">
        <v>0</v>
      </c>
      <c r="AA62" s="55">
        <v>0</v>
      </c>
      <c r="AB62" s="53">
        <v>100</v>
      </c>
      <c r="AC62" s="52" t="s">
        <v>144</v>
      </c>
      <c r="AD62" s="209" t="s">
        <v>190</v>
      </c>
      <c r="AE62" s="209" t="s">
        <v>146</v>
      </c>
      <c r="AF62" s="209" t="s">
        <v>142</v>
      </c>
      <c r="AG62" s="209" t="s">
        <v>146</v>
      </c>
      <c r="AH62" s="209">
        <v>1</v>
      </c>
      <c r="AI62" s="55">
        <v>40</v>
      </c>
      <c r="AJ62" s="62">
        <f>Sheet_1_Table_1_136[[#This Row],[ILP Units Per Session]]*Sheet_1_Table_1_136[[#This Row],[Quota]]</f>
        <v>40</v>
      </c>
      <c r="AK62" s="211">
        <v>46259</v>
      </c>
      <c r="AL62" s="64">
        <f>WEEKDAY(Sheet_1_Table_1_136[[#This Row],[Lesson 1 
Date 
(DD-MMM-YYYY)]])</f>
        <v>3</v>
      </c>
      <c r="AM62" s="212">
        <v>0.83333333333333337</v>
      </c>
      <c r="AN62" s="213">
        <v>0.89583333333333337</v>
      </c>
      <c r="AO62" s="215" t="s">
        <v>2015</v>
      </c>
      <c r="AP62" s="56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16" t="s">
        <v>1498</v>
      </c>
      <c r="BP62" s="217" t="s">
        <v>2016</v>
      </c>
      <c r="BQ62" s="217" t="s">
        <v>2017</v>
      </c>
      <c r="BR62" s="57" t="s">
        <v>2018</v>
      </c>
      <c r="BS62" s="52"/>
      <c r="BT62" s="218"/>
      <c r="BU62" s="218"/>
      <c r="BV62" s="70"/>
      <c r="BW62" s="60"/>
      <c r="BX62" s="71"/>
      <c r="BY62" s="218" t="s">
        <v>184</v>
      </c>
      <c r="BZ62" s="218"/>
      <c r="CA62" s="218" t="s">
        <v>184</v>
      </c>
      <c r="CB62" s="220"/>
      <c r="CC62" s="220"/>
      <c r="CD62" s="221"/>
      <c r="CE62" s="222" t="s">
        <v>2019</v>
      </c>
      <c r="CF62" s="474" t="s">
        <v>2020</v>
      </c>
      <c r="CG62" s="56"/>
      <c r="CH62" s="57"/>
      <c r="CI62" s="223"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24"/>
      <c r="DH62" s="224"/>
      <c r="DI62" s="74"/>
      <c r="DJ62" s="75"/>
      <c r="DK62" s="76" t="s">
        <v>146</v>
      </c>
      <c r="DL62" s="76" t="s">
        <v>146</v>
      </c>
      <c r="DM62" s="76" t="s">
        <v>146</v>
      </c>
    </row>
    <row r="63" spans="1:156" ht="105">
      <c r="A63" s="48">
        <v>61</v>
      </c>
      <c r="B63" s="49">
        <v>202609</v>
      </c>
      <c r="C63" s="50" t="s">
        <v>2022</v>
      </c>
      <c r="D63" s="50" t="s">
        <v>133</v>
      </c>
      <c r="E63" s="206">
        <v>5974</v>
      </c>
      <c r="F63" s="54" t="s">
        <v>2009</v>
      </c>
      <c r="G63" s="53" t="s">
        <v>1617</v>
      </c>
      <c r="H63" s="95" t="s">
        <v>2010</v>
      </c>
      <c r="I63" s="84" t="s">
        <v>2011</v>
      </c>
      <c r="J63" s="222" t="s">
        <v>2023</v>
      </c>
      <c r="K63" s="55" t="s">
        <v>2024</v>
      </c>
      <c r="L63" s="55"/>
      <c r="M63" s="56" t="s">
        <v>2025</v>
      </c>
      <c r="N63" s="219" t="s">
        <v>2026</v>
      </c>
      <c r="O63" s="162" t="s">
        <v>142</v>
      </c>
      <c r="P63" s="162" t="s">
        <v>142</v>
      </c>
      <c r="Q63" s="222" t="s">
        <v>1495</v>
      </c>
      <c r="R63" s="61" t="str">
        <f>VLOOKUP(Sheet_1_Table_1_136[[#This Row],[Learning Domain]],[19]List!$A$7:$B$12,2,0)</f>
        <v>RE</v>
      </c>
      <c r="S63" s="55">
        <v>0</v>
      </c>
      <c r="T63" s="55">
        <v>0</v>
      </c>
      <c r="U63" s="55">
        <v>0</v>
      </c>
      <c r="V63" s="55">
        <v>0</v>
      </c>
      <c r="W63" s="55">
        <v>0</v>
      </c>
      <c r="X63" s="55">
        <v>20</v>
      </c>
      <c r="Y63" s="55">
        <v>80</v>
      </c>
      <c r="Z63" s="55">
        <v>0</v>
      </c>
      <c r="AA63" s="55">
        <v>0</v>
      </c>
      <c r="AB63" s="53">
        <v>100</v>
      </c>
      <c r="AC63" s="52" t="s">
        <v>244</v>
      </c>
      <c r="AD63" s="209" t="s">
        <v>190</v>
      </c>
      <c r="AE63" s="209" t="s">
        <v>146</v>
      </c>
      <c r="AF63" s="209" t="s">
        <v>146</v>
      </c>
      <c r="AG63" s="209" t="s">
        <v>146</v>
      </c>
      <c r="AH63" s="209">
        <v>1</v>
      </c>
      <c r="AI63" s="55">
        <v>60</v>
      </c>
      <c r="AJ63" s="62">
        <f>Sheet_1_Table_1_136[[#This Row],[ILP Units Per Session]]*Sheet_1_Table_1_136[[#This Row],[Quota]]</f>
        <v>60</v>
      </c>
      <c r="AK63" s="211">
        <v>46261</v>
      </c>
      <c r="AL63" s="64">
        <f>WEEKDAY(Sheet_1_Table_1_136[[#This Row],[Lesson 1 
Date 
(DD-MMM-YYYY)]])</f>
        <v>5</v>
      </c>
      <c r="AM63" s="65">
        <v>0.75</v>
      </c>
      <c r="AN63" s="66">
        <v>0.83333333333333337</v>
      </c>
      <c r="AO63" s="215" t="s">
        <v>2027</v>
      </c>
      <c r="AP63" s="56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16" t="s">
        <v>1498</v>
      </c>
      <c r="BP63" s="217" t="s">
        <v>2016</v>
      </c>
      <c r="BQ63" s="217" t="s">
        <v>2017</v>
      </c>
      <c r="BR63" s="57" t="s">
        <v>2018</v>
      </c>
      <c r="BS63" s="52"/>
      <c r="BT63" s="218"/>
      <c r="BU63" s="218"/>
      <c r="BV63" s="70"/>
      <c r="BW63" s="60"/>
      <c r="BX63" s="71"/>
      <c r="BY63" s="218" t="s">
        <v>184</v>
      </c>
      <c r="BZ63" s="218"/>
      <c r="CA63" s="218" t="s">
        <v>184</v>
      </c>
      <c r="CB63" s="220"/>
      <c r="CC63" s="220"/>
      <c r="CD63" s="221"/>
      <c r="CE63" s="222" t="s">
        <v>2019</v>
      </c>
      <c r="CF63" s="474" t="s">
        <v>2020</v>
      </c>
      <c r="CG63" s="56"/>
      <c r="CH63" s="57"/>
      <c r="CI63" s="223"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24"/>
      <c r="DH63" s="224"/>
      <c r="DI63" s="74"/>
      <c r="DJ63" s="75"/>
      <c r="DK63" s="76" t="s">
        <v>146</v>
      </c>
      <c r="DL63" s="76" t="s">
        <v>146</v>
      </c>
      <c r="DM63" s="76" t="s">
        <v>146</v>
      </c>
    </row>
    <row r="64" spans="1:156" ht="177.75">
      <c r="A64" s="48">
        <v>62</v>
      </c>
      <c r="B64" s="49">
        <v>202609</v>
      </c>
      <c r="C64" s="50" t="s">
        <v>2028</v>
      </c>
      <c r="D64" s="50" t="s">
        <v>133</v>
      </c>
      <c r="E64" s="51">
        <v>5987</v>
      </c>
      <c r="F64" s="54" t="s">
        <v>2009</v>
      </c>
      <c r="G64" s="53" t="s">
        <v>1617</v>
      </c>
      <c r="H64" s="95" t="s">
        <v>2010</v>
      </c>
      <c r="I64" s="84" t="s">
        <v>2011</v>
      </c>
      <c r="J64" s="60" t="s">
        <v>2029</v>
      </c>
      <c r="K64" s="55" t="s">
        <v>2030</v>
      </c>
      <c r="L64" s="55"/>
      <c r="M64" s="56" t="s">
        <v>2031</v>
      </c>
      <c r="N64" s="57" t="s">
        <v>2032</v>
      </c>
      <c r="O64" s="181" t="s">
        <v>142</v>
      </c>
      <c r="P64" s="181" t="s">
        <v>142</v>
      </c>
      <c r="Q64" s="222" t="s">
        <v>1495</v>
      </c>
      <c r="R64" s="61" t="str">
        <f>VLOOKUP(Sheet_1_Table_1_136[[#This Row],[Learning Domain]],[19]List!$A$7:$B$12,2,0)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84">
        <v>46282</v>
      </c>
      <c r="AL64" s="64">
        <f>WEEKDAY(Sheet_1_Table_1_136[[#This Row],[Lesson 1 
Date 
(DD-MMM-YYYY)]])</f>
        <v>5</v>
      </c>
      <c r="AM64" s="65">
        <v>0.72916666666666663</v>
      </c>
      <c r="AN64" s="66">
        <v>0.77083333333333337</v>
      </c>
      <c r="AO64" s="67" t="s">
        <v>191</v>
      </c>
      <c r="AP64" s="56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2033</v>
      </c>
      <c r="BQ64" s="55" t="s">
        <v>2034</v>
      </c>
      <c r="BR64" s="57" t="s">
        <v>2035</v>
      </c>
      <c r="BS64" s="52"/>
      <c r="BT64" s="56"/>
      <c r="BU64" s="56"/>
      <c r="BV64" s="70"/>
      <c r="BW64" s="60"/>
      <c r="BX64" s="71"/>
      <c r="BY64" s="56" t="s">
        <v>149</v>
      </c>
      <c r="BZ64" s="56"/>
      <c r="CA64" s="56" t="s">
        <v>149</v>
      </c>
      <c r="CB64" s="72"/>
      <c r="CC64" s="72"/>
      <c r="CD64" s="71"/>
      <c r="CE64" s="56" t="s">
        <v>2036</v>
      </c>
      <c r="CF64" s="301" t="s">
        <v>2037</v>
      </c>
      <c r="CG64" s="56" t="s">
        <v>2019</v>
      </c>
      <c r="CH64" s="301" t="s">
        <v>2020</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row>
    <row r="65" spans="1:117" ht="90">
      <c r="A65" s="48">
        <v>63</v>
      </c>
      <c r="B65" s="49">
        <v>202609</v>
      </c>
      <c r="C65" s="50" t="s">
        <v>2038</v>
      </c>
      <c r="D65" s="50" t="s">
        <v>250</v>
      </c>
      <c r="E65" s="51">
        <v>5988</v>
      </c>
      <c r="F65" s="54" t="s">
        <v>2009</v>
      </c>
      <c r="G65" s="53" t="s">
        <v>1617</v>
      </c>
      <c r="H65" s="95" t="s">
        <v>2010</v>
      </c>
      <c r="I65" s="84" t="s">
        <v>2011</v>
      </c>
      <c r="J65" s="60" t="s">
        <v>2039</v>
      </c>
      <c r="K65" s="55" t="s">
        <v>2040</v>
      </c>
      <c r="L65" s="55"/>
      <c r="M65" s="56" t="s">
        <v>2041</v>
      </c>
      <c r="N65" s="57" t="s">
        <v>2042</v>
      </c>
      <c r="O65" s="78" t="s">
        <v>146</v>
      </c>
      <c r="P65" s="78" t="s">
        <v>146</v>
      </c>
      <c r="Q65" s="222" t="s">
        <v>1495</v>
      </c>
      <c r="R65" s="61" t="str">
        <f>VLOOKUP(Sheet_1_Table_1_136[[#This Row],[Learning Domain]],[19]List!$A$7:$B$12,2,0)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2015</v>
      </c>
      <c r="AP65" s="56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2043</v>
      </c>
      <c r="BQ65" s="69" t="s">
        <v>2044</v>
      </c>
      <c r="BR65" s="57" t="s">
        <v>2045</v>
      </c>
      <c r="BS65" s="52"/>
      <c r="BT65" s="56"/>
      <c r="BU65" s="56"/>
      <c r="BV65" s="70"/>
      <c r="BW65" s="60"/>
      <c r="BX65" s="71"/>
      <c r="BY65" s="56" t="s">
        <v>149</v>
      </c>
      <c r="BZ65" s="56"/>
      <c r="CA65" s="56" t="s">
        <v>1654</v>
      </c>
      <c r="CB65" s="72"/>
      <c r="CC65" s="72"/>
      <c r="CD65" s="71"/>
      <c r="CE65" s="56" t="s">
        <v>2046</v>
      </c>
      <c r="CF65" s="301" t="s">
        <v>2047</v>
      </c>
      <c r="CG65" s="56" t="s">
        <v>2019</v>
      </c>
      <c r="CH65" s="301" t="s">
        <v>2020</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row>
    <row r="66" spans="1:117" ht="165">
      <c r="A66" s="48">
        <v>64</v>
      </c>
      <c r="B66" s="49">
        <v>202609</v>
      </c>
      <c r="C66" s="50" t="s">
        <v>2048</v>
      </c>
      <c r="D66" s="50" t="s">
        <v>174</v>
      </c>
      <c r="E66" s="51">
        <v>5989</v>
      </c>
      <c r="F66" s="54" t="s">
        <v>2009</v>
      </c>
      <c r="G66" s="53" t="s">
        <v>1617</v>
      </c>
      <c r="H66" s="95" t="s">
        <v>2010</v>
      </c>
      <c r="I66" s="84" t="s">
        <v>2011</v>
      </c>
      <c r="J66" s="60" t="s">
        <v>2049</v>
      </c>
      <c r="K66" s="55" t="s">
        <v>2050</v>
      </c>
      <c r="L66" s="55"/>
      <c r="M66" s="56" t="s">
        <v>2051</v>
      </c>
      <c r="N66" s="57" t="s">
        <v>2052</v>
      </c>
      <c r="O66" s="181" t="s">
        <v>142</v>
      </c>
      <c r="P66" s="181" t="s">
        <v>142</v>
      </c>
      <c r="Q66" s="222" t="s">
        <v>1495</v>
      </c>
      <c r="R66" s="61" t="str">
        <f>VLOOKUP(Sheet_1_Table_1_136[[#This Row],[Learning Domain]],[19]List!$A$7:$B$12,2,0)</f>
        <v>RE</v>
      </c>
      <c r="S66" s="55">
        <v>0</v>
      </c>
      <c r="T66" s="55">
        <v>0</v>
      </c>
      <c r="U66" s="55">
        <v>0</v>
      </c>
      <c r="V66" s="55">
        <v>0</v>
      </c>
      <c r="W66" s="55">
        <v>30</v>
      </c>
      <c r="X66" s="55">
        <v>70</v>
      </c>
      <c r="Y66" s="55">
        <v>0</v>
      </c>
      <c r="Z66" s="55">
        <v>0</v>
      </c>
      <c r="AA66" s="55">
        <v>0</v>
      </c>
      <c r="AB66" s="53">
        <v>100</v>
      </c>
      <c r="AC66" s="52" t="s">
        <v>144</v>
      </c>
      <c r="AD66" s="55" t="s">
        <v>353</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6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1498</v>
      </c>
      <c r="BP66" s="69" t="s">
        <v>2053</v>
      </c>
      <c r="BQ66" s="55" t="s">
        <v>2054</v>
      </c>
      <c r="BR66" s="57" t="s">
        <v>2055</v>
      </c>
      <c r="BS66" s="52"/>
      <c r="BT66" s="56"/>
      <c r="BU66" s="56"/>
      <c r="BV66" s="70"/>
      <c r="BW66" s="60"/>
      <c r="BX66" s="71"/>
      <c r="BY66" s="56" t="s">
        <v>149</v>
      </c>
      <c r="BZ66" s="56"/>
      <c r="CA66" s="56" t="s">
        <v>149</v>
      </c>
      <c r="CB66" s="72"/>
      <c r="CC66" s="72"/>
      <c r="CD66" s="71"/>
      <c r="CE66" s="56" t="s">
        <v>2056</v>
      </c>
      <c r="CF66" s="301" t="s">
        <v>2057</v>
      </c>
      <c r="CG66" s="56" t="s">
        <v>2019</v>
      </c>
      <c r="CH66" s="301" t="s">
        <v>2020</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row>
    <row r="67" spans="1:117" ht="60">
      <c r="A67" s="48">
        <v>65</v>
      </c>
      <c r="B67" s="49">
        <v>202609</v>
      </c>
      <c r="C67" s="50" t="s">
        <v>2058</v>
      </c>
      <c r="D67" s="50" t="s">
        <v>174</v>
      </c>
      <c r="E67" s="51">
        <v>5990</v>
      </c>
      <c r="F67" s="54" t="s">
        <v>2009</v>
      </c>
      <c r="G67" s="53" t="s">
        <v>1617</v>
      </c>
      <c r="H67" s="95" t="s">
        <v>2010</v>
      </c>
      <c r="I67" s="84" t="s">
        <v>2011</v>
      </c>
      <c r="J67" s="60" t="s">
        <v>2059</v>
      </c>
      <c r="K67" s="55" t="s">
        <v>2060</v>
      </c>
      <c r="L67" s="55"/>
      <c r="M67" s="56" t="s">
        <v>2061</v>
      </c>
      <c r="N67" s="57" t="s">
        <v>2062</v>
      </c>
      <c r="O67" s="78" t="s">
        <v>146</v>
      </c>
      <c r="P67" s="78" t="s">
        <v>146</v>
      </c>
      <c r="Q67" s="222" t="s">
        <v>1495</v>
      </c>
      <c r="R67" s="61" t="str">
        <f>VLOOKUP(Sheet_1_Table_1_136[[#This Row],[Learning Domain]],[19]List!$A$7:$B$12,2,0)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2063</v>
      </c>
      <c r="AP67" s="56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291</v>
      </c>
      <c r="BP67" s="69" t="s">
        <v>2064</v>
      </c>
      <c r="BQ67" s="69" t="s">
        <v>2065</v>
      </c>
      <c r="BR67" s="57" t="s">
        <v>2066</v>
      </c>
      <c r="BS67" s="52"/>
      <c r="BT67" s="56"/>
      <c r="BU67" s="56"/>
      <c r="BV67" s="70"/>
      <c r="BW67" s="60"/>
      <c r="BX67" s="71"/>
      <c r="BY67" s="56" t="s">
        <v>184</v>
      </c>
      <c r="BZ67" s="56"/>
      <c r="CA67" s="56" t="s">
        <v>1654</v>
      </c>
      <c r="CB67" s="72"/>
      <c r="CC67" s="72"/>
      <c r="CD67" s="71"/>
      <c r="CE67" s="56" t="s">
        <v>2019</v>
      </c>
      <c r="CF67" s="301" t="s">
        <v>2020</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row>
    <row r="68" spans="1:117" ht="90">
      <c r="A68" s="48">
        <v>66</v>
      </c>
      <c r="B68" s="49">
        <v>202609</v>
      </c>
      <c r="C68" s="50" t="s">
        <v>2067</v>
      </c>
      <c r="D68" s="50" t="s">
        <v>174</v>
      </c>
      <c r="E68" s="51">
        <v>5991</v>
      </c>
      <c r="F68" s="54" t="s">
        <v>2009</v>
      </c>
      <c r="G68" s="53" t="s">
        <v>1617</v>
      </c>
      <c r="H68" s="95" t="s">
        <v>2010</v>
      </c>
      <c r="I68" s="84" t="s">
        <v>2011</v>
      </c>
      <c r="J68" s="60" t="s">
        <v>2068</v>
      </c>
      <c r="K68" s="55" t="s">
        <v>2069</v>
      </c>
      <c r="L68" s="55"/>
      <c r="M68" s="56" t="s">
        <v>2070</v>
      </c>
      <c r="N68" s="57" t="s">
        <v>2071</v>
      </c>
      <c r="O68" s="58" t="s">
        <v>146</v>
      </c>
      <c r="P68" s="58" t="s">
        <v>146</v>
      </c>
      <c r="Q68" s="222" t="s">
        <v>1495</v>
      </c>
      <c r="R68" s="61" t="str">
        <f>VLOOKUP(Sheet_1_Table_1_136[[#This Row],[Learning Domain]],[19]List!$A$7:$B$12,2,0)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9">
        <v>1</v>
      </c>
      <c r="AI68" s="55">
        <v>20</v>
      </c>
      <c r="AJ68" s="62">
        <f>Sheet_1_Table_1_136[[#This Row],[ILP Units Per Session]]*Sheet_1_Table_1_136[[#This Row],[Quota]]</f>
        <v>20</v>
      </c>
      <c r="AK68" s="63">
        <v>46309</v>
      </c>
      <c r="AL68" s="64">
        <f>WEEKDAY(Sheet_1_Table_1_136[[#This Row],[Lesson 1 
Date 
(DD-MMM-YYYY)]])</f>
        <v>4</v>
      </c>
      <c r="AM68" s="603">
        <v>0.83333333333333337</v>
      </c>
      <c r="AN68" s="604">
        <v>0.875</v>
      </c>
      <c r="AO68" s="67" t="s">
        <v>2015</v>
      </c>
      <c r="AP68" s="56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16" t="s">
        <v>163</v>
      </c>
      <c r="BP68" s="69" t="s">
        <v>2072</v>
      </c>
      <c r="BQ68" s="55" t="s">
        <v>1474</v>
      </c>
      <c r="BR68" s="57" t="s">
        <v>2073</v>
      </c>
      <c r="BS68" s="52"/>
      <c r="BT68" s="69"/>
      <c r="BU68" s="55"/>
      <c r="BV68" s="70"/>
      <c r="BW68" s="60"/>
      <c r="BX68" s="71"/>
      <c r="BY68" s="56" t="s">
        <v>149</v>
      </c>
      <c r="BZ68" s="56"/>
      <c r="CA68" s="56" t="s">
        <v>1654</v>
      </c>
      <c r="CB68" s="72"/>
      <c r="CC68" s="72"/>
      <c r="CD68" s="71"/>
      <c r="CE68" s="60" t="s">
        <v>2074</v>
      </c>
      <c r="CF68" s="164" t="s">
        <v>2075</v>
      </c>
      <c r="CG68" s="56" t="s">
        <v>2019</v>
      </c>
      <c r="CH68" s="301" t="s">
        <v>2020</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row>
    <row r="69" spans="1:117" ht="105">
      <c r="A69" s="48">
        <v>67</v>
      </c>
      <c r="B69" s="49">
        <v>202609</v>
      </c>
      <c r="C69" s="50" t="s">
        <v>2076</v>
      </c>
      <c r="D69" s="50" t="s">
        <v>174</v>
      </c>
      <c r="E69" s="51">
        <v>5992</v>
      </c>
      <c r="F69" s="54" t="s">
        <v>2009</v>
      </c>
      <c r="G69" s="53" t="s">
        <v>1617</v>
      </c>
      <c r="H69" s="95" t="s">
        <v>2010</v>
      </c>
      <c r="I69" s="84" t="s">
        <v>2011</v>
      </c>
      <c r="J69" s="60" t="s">
        <v>2077</v>
      </c>
      <c r="K69" s="55" t="s">
        <v>2078</v>
      </c>
      <c r="L69" s="55"/>
      <c r="M69" s="56" t="s">
        <v>2079</v>
      </c>
      <c r="N69" s="57" t="s">
        <v>2080</v>
      </c>
      <c r="O69" s="78" t="s">
        <v>146</v>
      </c>
      <c r="P69" s="78" t="s">
        <v>146</v>
      </c>
      <c r="Q69" s="222" t="s">
        <v>1495</v>
      </c>
      <c r="R69" s="61" t="str">
        <f>VLOOKUP(Sheet_1_Table_1_136[[#This Row],[Learning Domain]],[19]List!$A$7:$B$12,2,0)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2063</v>
      </c>
      <c r="AP69" s="56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291</v>
      </c>
      <c r="BP69" s="69" t="s">
        <v>2081</v>
      </c>
      <c r="BQ69" s="55" t="s">
        <v>2082</v>
      </c>
      <c r="BR69" s="57" t="s">
        <v>2083</v>
      </c>
      <c r="BS69" s="52"/>
      <c r="BT69" s="69"/>
      <c r="BU69" s="55"/>
      <c r="BV69" s="70"/>
      <c r="BW69" s="60"/>
      <c r="BX69" s="71"/>
      <c r="BY69" s="56" t="s">
        <v>149</v>
      </c>
      <c r="BZ69" s="56"/>
      <c r="CA69" s="56" t="s">
        <v>1654</v>
      </c>
      <c r="CB69" s="72"/>
      <c r="CC69" s="72"/>
      <c r="CD69" s="71"/>
      <c r="CE69" s="60" t="s">
        <v>2084</v>
      </c>
      <c r="CF69" s="164" t="s">
        <v>2085</v>
      </c>
      <c r="CG69" s="56" t="s">
        <v>2019</v>
      </c>
      <c r="CH69" s="301" t="s">
        <v>2020</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row>
    <row r="70" spans="1:117" ht="90">
      <c r="A70" s="48">
        <v>68</v>
      </c>
      <c r="B70" s="49">
        <v>202609</v>
      </c>
      <c r="C70" s="50" t="s">
        <v>2086</v>
      </c>
      <c r="D70" s="50" t="s">
        <v>204</v>
      </c>
      <c r="E70" s="51">
        <v>5993</v>
      </c>
      <c r="F70" s="54" t="s">
        <v>2009</v>
      </c>
      <c r="G70" s="53" t="s">
        <v>1617</v>
      </c>
      <c r="H70" s="95" t="s">
        <v>2010</v>
      </c>
      <c r="I70" s="84" t="s">
        <v>2011</v>
      </c>
      <c r="J70" s="60" t="s">
        <v>2087</v>
      </c>
      <c r="K70" s="55" t="s">
        <v>2088</v>
      </c>
      <c r="L70" s="55"/>
      <c r="M70" s="56" t="s">
        <v>2089</v>
      </c>
      <c r="N70" s="57" t="s">
        <v>2090</v>
      </c>
      <c r="O70" s="78" t="s">
        <v>146</v>
      </c>
      <c r="P70" s="78" t="s">
        <v>146</v>
      </c>
      <c r="Q70" s="222" t="s">
        <v>1495</v>
      </c>
      <c r="R70" s="61" t="str">
        <f>VLOOKUP(Sheet_1_Table_1_136[[#This Row],[Learning Domain]],[19]List!$A$7:$B$12,2,0)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2015</v>
      </c>
      <c r="AP70" s="56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291</v>
      </c>
      <c r="BP70" s="69" t="s">
        <v>2091</v>
      </c>
      <c r="BQ70" s="69" t="s">
        <v>440</v>
      </c>
      <c r="BR70" s="57" t="s">
        <v>2092</v>
      </c>
      <c r="BS70" s="52"/>
      <c r="BT70" s="56"/>
      <c r="BU70" s="56"/>
      <c r="BV70" s="70"/>
      <c r="BW70" s="60"/>
      <c r="BX70" s="71"/>
      <c r="BY70" s="56" t="s">
        <v>149</v>
      </c>
      <c r="BZ70" s="56"/>
      <c r="CA70" s="56" t="s">
        <v>1654</v>
      </c>
      <c r="CB70" s="72"/>
      <c r="CC70" s="72"/>
      <c r="CD70" s="71"/>
      <c r="CE70" s="60" t="s">
        <v>2093</v>
      </c>
      <c r="CF70" s="164" t="s">
        <v>2094</v>
      </c>
      <c r="CG70" s="56" t="s">
        <v>2019</v>
      </c>
      <c r="CH70" s="301" t="s">
        <v>2020</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row>
    <row r="71" spans="1:117" ht="105">
      <c r="A71" s="48">
        <v>69</v>
      </c>
      <c r="B71" s="49">
        <v>202609</v>
      </c>
      <c r="C71" s="50" t="s">
        <v>2095</v>
      </c>
      <c r="D71" s="50" t="s">
        <v>250</v>
      </c>
      <c r="E71" s="51">
        <v>5983</v>
      </c>
      <c r="F71" s="54" t="s">
        <v>2096</v>
      </c>
      <c r="G71" s="53" t="s">
        <v>1617</v>
      </c>
      <c r="H71" s="95" t="s">
        <v>2097</v>
      </c>
      <c r="I71" s="84" t="s">
        <v>2098</v>
      </c>
      <c r="J71" s="60" t="s">
        <v>2099</v>
      </c>
      <c r="K71" s="55" t="s">
        <v>2100</v>
      </c>
      <c r="L71" s="55"/>
      <c r="M71" s="56" t="s">
        <v>2101</v>
      </c>
      <c r="N71" s="57" t="s">
        <v>2102</v>
      </c>
      <c r="O71" s="58" t="s">
        <v>146</v>
      </c>
      <c r="P71" s="58" t="s">
        <v>146</v>
      </c>
      <c r="Q71" s="222" t="s">
        <v>1495</v>
      </c>
      <c r="R71" s="61" t="str">
        <f>VLOOKUP(Sheet_1_Table_1_136[[#This Row],[Learning Domain]],[19]List!$A$7:$B$12,2,0)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2103</v>
      </c>
      <c r="AP71" s="56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2104</v>
      </c>
      <c r="BQ71" s="55" t="s">
        <v>2105</v>
      </c>
      <c r="BR71" s="57" t="s">
        <v>2106</v>
      </c>
      <c r="BS71" s="52"/>
      <c r="BT71" s="56"/>
      <c r="BU71" s="56"/>
      <c r="BV71" s="70"/>
      <c r="BW71" s="60"/>
      <c r="BX71" s="71"/>
      <c r="BY71" s="56" t="s">
        <v>184</v>
      </c>
      <c r="BZ71" s="56"/>
      <c r="CA71" s="55" t="s">
        <v>1638</v>
      </c>
      <c r="CB71" s="72"/>
      <c r="CC71" s="72"/>
      <c r="CD71" s="71"/>
      <c r="CE71" s="60" t="s">
        <v>2107</v>
      </c>
      <c r="CF71" s="164" t="s">
        <v>2108</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row>
    <row r="72" spans="1:117" ht="105">
      <c r="A72" s="48">
        <v>70</v>
      </c>
      <c r="B72" s="49">
        <v>202609</v>
      </c>
      <c r="C72" s="50" t="s">
        <v>2086</v>
      </c>
      <c r="D72" s="50" t="s">
        <v>250</v>
      </c>
      <c r="E72" s="51">
        <v>5984</v>
      </c>
      <c r="F72" s="54" t="s">
        <v>2096</v>
      </c>
      <c r="G72" s="53" t="s">
        <v>1617</v>
      </c>
      <c r="H72" s="95" t="s">
        <v>2097</v>
      </c>
      <c r="I72" s="84" t="s">
        <v>2098</v>
      </c>
      <c r="J72" s="60" t="s">
        <v>2109</v>
      </c>
      <c r="K72" s="55" t="s">
        <v>2110</v>
      </c>
      <c r="L72" s="55"/>
      <c r="M72" s="56" t="s">
        <v>2101</v>
      </c>
      <c r="N72" s="57" t="s">
        <v>2102</v>
      </c>
      <c r="O72" s="58" t="s">
        <v>146</v>
      </c>
      <c r="P72" s="58" t="s">
        <v>146</v>
      </c>
      <c r="Q72" s="222" t="s">
        <v>1495</v>
      </c>
      <c r="R72" s="61" t="str">
        <f>VLOOKUP(Sheet_1_Table_1_136[[#This Row],[Learning Domain]],[19]List!$A$7:$B$12,2,0)</f>
        <v>RE</v>
      </c>
      <c r="S72" s="55">
        <v>20</v>
      </c>
      <c r="T72" s="55">
        <v>20</v>
      </c>
      <c r="U72" s="55">
        <v>30</v>
      </c>
      <c r="V72" s="55">
        <v>20</v>
      </c>
      <c r="W72" s="55">
        <v>0</v>
      </c>
      <c r="X72" s="55">
        <v>0</v>
      </c>
      <c r="Y72" s="55">
        <v>10</v>
      </c>
      <c r="Z72" s="55">
        <v>0</v>
      </c>
      <c r="AA72" s="55">
        <v>0</v>
      </c>
      <c r="AB72" s="53">
        <v>100</v>
      </c>
      <c r="AC72" s="52" t="s">
        <v>144</v>
      </c>
      <c r="AD72" s="209" t="s">
        <v>353</v>
      </c>
      <c r="AE72" s="209" t="s">
        <v>142</v>
      </c>
      <c r="AF72" s="209" t="s">
        <v>146</v>
      </c>
      <c r="AG72" s="209" t="s">
        <v>142</v>
      </c>
      <c r="AH72" s="55">
        <v>1</v>
      </c>
      <c r="AI72" s="55">
        <v>280</v>
      </c>
      <c r="AJ72" s="62">
        <f>Sheet_1_Table_1_136[[#This Row],[ILP Units Per Session]]*Sheet_1_Table_1_136[[#This Row],[Quota]]</f>
        <v>280</v>
      </c>
      <c r="AK72" s="211">
        <v>46293</v>
      </c>
      <c r="AL72" s="64">
        <f>WEEKDAY(Sheet_1_Table_1_136[[#This Row],[Lesson 1 
Date 
(DD-MMM-YYYY)]])</f>
        <v>2</v>
      </c>
      <c r="AM72" s="212">
        <v>0.84375</v>
      </c>
      <c r="AN72" s="213">
        <v>0.88541666666666663</v>
      </c>
      <c r="AO72" s="215" t="s">
        <v>182</v>
      </c>
      <c r="AP72" s="56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16" t="s">
        <v>163</v>
      </c>
      <c r="BP72" s="217" t="s">
        <v>2111</v>
      </c>
      <c r="BQ72" s="209" t="s">
        <v>944</v>
      </c>
      <c r="BR72" s="219" t="s">
        <v>2112</v>
      </c>
      <c r="BS72" s="52"/>
      <c r="BT72" s="218"/>
      <c r="BU72" s="218"/>
      <c r="BV72" s="70"/>
      <c r="BW72" s="60"/>
      <c r="BX72" s="71"/>
      <c r="BY72" s="218"/>
      <c r="BZ72" s="218"/>
      <c r="CA72" s="55" t="s">
        <v>1713</v>
      </c>
      <c r="CB72" s="220"/>
      <c r="CC72" s="220"/>
      <c r="CD72" s="221"/>
      <c r="CE72" s="222" t="s">
        <v>2113</v>
      </c>
      <c r="CF72" s="474" t="s">
        <v>2114</v>
      </c>
      <c r="CG72" s="56"/>
      <c r="CH72" s="57"/>
      <c r="CI72" s="223"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row>
    <row r="73" spans="1:117" ht="105">
      <c r="A73" s="48">
        <v>71</v>
      </c>
      <c r="B73" s="49">
        <v>202609</v>
      </c>
      <c r="C73" s="50" t="s">
        <v>2115</v>
      </c>
      <c r="D73" s="50" t="s">
        <v>174</v>
      </c>
      <c r="E73" s="51">
        <v>5985</v>
      </c>
      <c r="F73" s="54" t="s">
        <v>2096</v>
      </c>
      <c r="G73" s="53" t="s">
        <v>1617</v>
      </c>
      <c r="H73" s="95" t="s">
        <v>2097</v>
      </c>
      <c r="I73" s="84" t="s">
        <v>2098</v>
      </c>
      <c r="J73" s="60" t="s">
        <v>2116</v>
      </c>
      <c r="K73" s="55" t="s">
        <v>2117</v>
      </c>
      <c r="L73" s="55"/>
      <c r="M73" s="56" t="s">
        <v>2101</v>
      </c>
      <c r="N73" s="57" t="s">
        <v>2102</v>
      </c>
      <c r="O73" s="58" t="s">
        <v>146</v>
      </c>
      <c r="P73" s="58" t="s">
        <v>146</v>
      </c>
      <c r="Q73" s="222" t="s">
        <v>1495</v>
      </c>
      <c r="R73" s="61" t="str">
        <f>VLOOKUP(Sheet_1_Table_1_136[[#This Row],[Learning Domain]],[19]List!$A$7:$B$12,2,0)</f>
        <v>RE</v>
      </c>
      <c r="S73" s="55">
        <v>0</v>
      </c>
      <c r="T73" s="55">
        <v>0</v>
      </c>
      <c r="U73" s="55">
        <v>0</v>
      </c>
      <c r="V73" s="55">
        <v>30</v>
      </c>
      <c r="W73" s="55">
        <v>0</v>
      </c>
      <c r="X73" s="55">
        <v>0</v>
      </c>
      <c r="Y73" s="55">
        <v>70</v>
      </c>
      <c r="Z73" s="55">
        <v>0</v>
      </c>
      <c r="AA73" s="55">
        <v>0</v>
      </c>
      <c r="AB73" s="53">
        <v>100</v>
      </c>
      <c r="AC73" s="52" t="s">
        <v>199</v>
      </c>
      <c r="AD73" s="209" t="s">
        <v>190</v>
      </c>
      <c r="AE73" s="209" t="s">
        <v>142</v>
      </c>
      <c r="AF73" s="209" t="s">
        <v>146</v>
      </c>
      <c r="AG73" s="209" t="s">
        <v>142</v>
      </c>
      <c r="AH73" s="209">
        <v>1</v>
      </c>
      <c r="AI73" s="55">
        <v>15</v>
      </c>
      <c r="AJ73" s="62">
        <f>Sheet_1_Table_1_136[[#This Row],[ILP Units Per Session]]*Sheet_1_Table_1_136[[#This Row],[Quota]]</f>
        <v>15</v>
      </c>
      <c r="AK73" s="211">
        <v>46297</v>
      </c>
      <c r="AL73" s="64">
        <f>WEEKDAY(Sheet_1_Table_1_136[[#This Row],[Lesson 1 
Date 
(DD-MMM-YYYY)]])</f>
        <v>6</v>
      </c>
      <c r="AM73" s="65">
        <v>0.51041666666666663</v>
      </c>
      <c r="AN73" s="65">
        <v>0.55208333333333337</v>
      </c>
      <c r="AO73" s="215" t="s">
        <v>2118</v>
      </c>
      <c r="AP73" s="56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16" t="s">
        <v>163</v>
      </c>
      <c r="BP73" s="217" t="s">
        <v>2119</v>
      </c>
      <c r="BQ73" s="209" t="s">
        <v>2120</v>
      </c>
      <c r="BR73" s="219" t="s">
        <v>2121</v>
      </c>
      <c r="BS73" s="52"/>
      <c r="BT73" s="217"/>
      <c r="BU73" s="209"/>
      <c r="BV73" s="70"/>
      <c r="BW73" s="60"/>
      <c r="BX73" s="71"/>
      <c r="BY73" s="218"/>
      <c r="BZ73" s="218"/>
      <c r="CA73" s="55" t="s">
        <v>1638</v>
      </c>
      <c r="CB73" s="220"/>
      <c r="CC73" s="220"/>
      <c r="CD73" s="221"/>
      <c r="CE73" s="222" t="s">
        <v>2122</v>
      </c>
      <c r="CF73" s="474" t="s">
        <v>312</v>
      </c>
      <c r="CG73" s="56"/>
      <c r="CH73" s="57"/>
      <c r="CI73" s="223"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row>
    <row r="74" spans="1:117" ht="105">
      <c r="A74" s="48">
        <v>72</v>
      </c>
      <c r="B74" s="589">
        <v>202609</v>
      </c>
      <c r="C74" s="587" t="s">
        <v>2123</v>
      </c>
      <c r="D74" s="587" t="s">
        <v>174</v>
      </c>
      <c r="E74" s="591">
        <v>5986</v>
      </c>
      <c r="F74" s="586" t="s">
        <v>2096</v>
      </c>
      <c r="G74" s="605" t="s">
        <v>1617</v>
      </c>
      <c r="H74" s="307" t="s">
        <v>2097</v>
      </c>
      <c r="I74" s="311" t="s">
        <v>2098</v>
      </c>
      <c r="J74" s="568" t="s">
        <v>2124</v>
      </c>
      <c r="K74" s="572" t="s">
        <v>2125</v>
      </c>
      <c r="L74" s="572"/>
      <c r="M74" s="56" t="s">
        <v>2101</v>
      </c>
      <c r="N74" s="57" t="s">
        <v>2102</v>
      </c>
      <c r="O74" s="78" t="s">
        <v>146</v>
      </c>
      <c r="P74" s="58" t="s">
        <v>146</v>
      </c>
      <c r="Q74" s="222" t="s">
        <v>1495</v>
      </c>
      <c r="R74" s="61" t="str">
        <f>VLOOKUP(Sheet_1_Table_1_136[[#This Row],[Learning Domain]],[19]List!$A$7:$B$12,2,0)</f>
        <v>RE</v>
      </c>
      <c r="S74" s="55">
        <v>0</v>
      </c>
      <c r="T74" s="55">
        <v>0</v>
      </c>
      <c r="U74" s="55">
        <v>0</v>
      </c>
      <c r="V74" s="55">
        <v>40</v>
      </c>
      <c r="W74" s="55">
        <v>0</v>
      </c>
      <c r="X74" s="55">
        <v>20</v>
      </c>
      <c r="Y74" s="55">
        <v>0</v>
      </c>
      <c r="Z74" s="55">
        <v>0</v>
      </c>
      <c r="AA74" s="55">
        <v>40</v>
      </c>
      <c r="AB74" s="53">
        <v>100</v>
      </c>
      <c r="AC74" s="52" t="s">
        <v>144</v>
      </c>
      <c r="AD74" s="55" t="s">
        <v>353</v>
      </c>
      <c r="AE74" s="55" t="s">
        <v>142</v>
      </c>
      <c r="AF74" s="55" t="s">
        <v>146</v>
      </c>
      <c r="AG74" s="55" t="s">
        <v>142</v>
      </c>
      <c r="AH74" s="209">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95"/>
      <c r="AQ74" s="596">
        <f>WEEKDAY(Sheet_1_Table_1_136[[#This Row],[Lesson 2
Date 
(DD-MMM-YYYY)]])</f>
        <v>7</v>
      </c>
      <c r="AR74" s="575"/>
      <c r="AS74" s="593"/>
      <c r="AT74" s="594"/>
      <c r="AU74" s="592"/>
      <c r="AV74" s="596">
        <f>WEEKDAY(Sheet_1_Table_1_136[[#This Row],[Lesson 3
Date 
(DD-MMM-YYYY)]])</f>
        <v>7</v>
      </c>
      <c r="AW74" s="575"/>
      <c r="AX74" s="593"/>
      <c r="AY74" s="594"/>
      <c r="AZ74" s="597"/>
      <c r="BA74" s="596">
        <f>WEEKDAY(Sheet_1_Table_1_136[[#This Row],[Lesson 4
Date 
(DD-MMM-YYYY)]])</f>
        <v>7</v>
      </c>
      <c r="BB74" s="575"/>
      <c r="BC74" s="593"/>
      <c r="BD74" s="594"/>
      <c r="BE74" s="592"/>
      <c r="BF74" s="596">
        <f>WEEKDAY(Sheet_1_Table_1_136[[#This Row],[Lesson 5
Date 
(DD-MMM-YYYY)]])</f>
        <v>7</v>
      </c>
      <c r="BG74" s="575"/>
      <c r="BH74" s="593"/>
      <c r="BI74" s="594"/>
      <c r="BJ74" s="597"/>
      <c r="BK74" s="596">
        <f>WEEKDAY(Sheet_1_Table_1_136[[#This Row],[Lesson 6
Date 
(DD-MMM-YYYY)]])</f>
        <v>7</v>
      </c>
      <c r="BL74" s="575"/>
      <c r="BM74" s="593"/>
      <c r="BN74" s="598"/>
      <c r="BO74" s="54" t="s">
        <v>163</v>
      </c>
      <c r="BP74" s="69" t="s">
        <v>520</v>
      </c>
      <c r="BQ74" s="209" t="s">
        <v>2126</v>
      </c>
      <c r="BR74" s="57" t="s">
        <v>2127</v>
      </c>
      <c r="BS74" s="52"/>
      <c r="BT74" s="69"/>
      <c r="BU74" s="55"/>
      <c r="BV74" s="70"/>
      <c r="BW74" s="60"/>
      <c r="BX74" s="71"/>
      <c r="BY74" s="56"/>
      <c r="BZ74" s="56"/>
      <c r="CA74" s="55" t="s">
        <v>1713</v>
      </c>
      <c r="CB74" s="72"/>
      <c r="CC74" s="72"/>
      <c r="CD74" s="71"/>
      <c r="CE74" s="60" t="s">
        <v>2128</v>
      </c>
      <c r="CF74" s="164" t="s">
        <v>2129</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86"/>
      <c r="DB74" s="587"/>
      <c r="DC74" s="587"/>
      <c r="DD74" s="587"/>
      <c r="DE74" s="587"/>
      <c r="DF74" s="587"/>
      <c r="DG74" s="588"/>
      <c r="DH74" s="588"/>
      <c r="DI74" s="588"/>
      <c r="DJ74" s="588"/>
      <c r="DK74" s="76" t="s">
        <v>146</v>
      </c>
      <c r="DL74" s="76" t="s">
        <v>146</v>
      </c>
      <c r="DM74" s="76" t="s">
        <v>146</v>
      </c>
    </row>
    <row r="75" spans="1:117">
      <c r="A75" s="48"/>
    </row>
    <row r="76" spans="1:117">
      <c r="A76" s="48"/>
    </row>
    <row r="77" spans="1:117">
      <c r="A77" s="48"/>
    </row>
    <row r="78" spans="1:117">
      <c r="A78" s="48"/>
    </row>
    <row r="79" spans="1:117">
      <c r="A79" s="48"/>
    </row>
    <row r="80" spans="1:117">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3.xml><?xml version="1.0" encoding="utf-8"?>
<ds:datastoreItem xmlns:ds="http://schemas.openxmlformats.org/officeDocument/2006/customXml" ds:itemID="{46265BCC-E303-4D4D-AAFB-22B6861EEB55}">
  <ds:schemaRefs>
    <ds:schemaRef ds:uri="http://schemas.microsoft.com/DataMashup"/>
  </ds:schemaRefs>
</ds:datastoreItem>
</file>

<file path=customXml/itemProps4.xml><?xml version="1.0" encoding="utf-8"?>
<ds:datastoreItem xmlns:ds="http://schemas.openxmlformats.org/officeDocument/2006/customXml" ds:itemID="{5EEFE96A-5B1F-4761-A990-DE8CFE728AA9}">
  <ds:schemaRef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f916db7e-b6f9-474f-b9b7-487b98f35499"/>
    <ds:schemaRef ds:uri="61d63cda-4e54-425b-a3e5-a513072120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2026-09-11T02:37:14Z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