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mylingnan.sharepoint.com/sites/ILPCoordinators/Shared Documents/General/2026-27/For website &amp; portal/"/>
    </mc:Choice>
  </mc:AlternateContent>
  <xr:revisionPtr revIDLastSave="0" documentId="8_{231FB941-3643-4403-9ACF-F527C6A6A9D0}" xr6:coauthVersionLast="47" xr6:coauthVersionMax="47" xr10:uidLastSave="{00000000-0000-0000-0000-000000000000}"/>
  <bookViews>
    <workbookView xWindow="0" yWindow="360" windowWidth="29010" windowHeight="15120" activeTab="1" xr2:uid="{0E2AAEB1-428E-4255-8832-DC179DEE2EA0}"/>
  </bookViews>
  <sheets>
    <sheet name="CELD" sheetId="6" r:id="rId1"/>
    <sheet name="IED" sheetId="3" r:id="rId2"/>
    <sheet name="PFW" sheetId="1" r:id="rId3"/>
    <sheet name="SEW" sheetId="7" r:id="rId4"/>
    <sheet name="AES" sheetId="2" r:id="rId5"/>
    <sheet name="RE" sheetId="5"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definedNames>
    <definedName name="_xlnm._FilterDatabase" localSheetId="2" hidden="1">PFW!$K$1:$L$1</definedName>
    <definedName name="ExternalData_1" localSheetId="4" hidden="1">AES!$B$2:$DJ$44</definedName>
    <definedName name="ExternalData_1" localSheetId="0" hidden="1">CELD!$B$2:$DJ$51</definedName>
    <definedName name="ExternalData_1" localSheetId="1" hidden="1">IED!$B$2:$DJ$74</definedName>
    <definedName name="ExternalData_1" localSheetId="2" hidden="1">PFW!$B$2:$DJ$46</definedName>
    <definedName name="ExternalData_1" localSheetId="5" hidden="1">RE!$B$2:$DJ$74</definedName>
    <definedName name="ExternalData_1" localSheetId="3" hidden="1">SEW!$B$2:$DJ$52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Q74" i="3" l="1"/>
  <c r="AQ41" i="1"/>
  <c r="AJ46" i="1"/>
  <c r="AJ45" i="1"/>
  <c r="R19" i="6"/>
  <c r="R20" i="6"/>
  <c r="R21" i="6"/>
  <c r="R22" i="6"/>
  <c r="R23" i="6"/>
  <c r="R24" i="6"/>
  <c r="R25" i="6"/>
  <c r="R26" i="6"/>
  <c r="R27" i="6"/>
  <c r="R28" i="6"/>
  <c r="R29" i="6"/>
  <c r="R30" i="6"/>
  <c r="R31" i="6"/>
  <c r="AL28" i="6"/>
  <c r="AL29" i="6"/>
  <c r="AL30" i="6"/>
  <c r="AL31" i="6"/>
  <c r="AL32" i="6"/>
  <c r="AL33" i="6"/>
  <c r="AL34" i="6"/>
  <c r="AL20" i="6"/>
  <c r="AL21" i="6"/>
  <c r="AL22" i="6"/>
  <c r="AL23" i="6"/>
  <c r="AL24" i="6"/>
  <c r="AL25" i="6"/>
  <c r="AL26" i="6"/>
  <c r="AL27" i="6"/>
  <c r="AL19" i="6"/>
  <c r="AL18" i="6"/>
  <c r="AL17" i="6"/>
  <c r="AQ3" i="2"/>
  <c r="AQ4" i="2"/>
  <c r="AQ5" i="2"/>
  <c r="AQ6" i="2"/>
  <c r="AQ7" i="2"/>
  <c r="AQ8" i="2"/>
  <c r="AQ9" i="2"/>
  <c r="AQ10" i="2"/>
  <c r="AQ11" i="2"/>
  <c r="AQ12" i="2"/>
  <c r="AQ13" i="2"/>
  <c r="AQ14" i="2"/>
  <c r="AQ15" i="2"/>
  <c r="AQ16" i="2"/>
  <c r="AQ17" i="2"/>
  <c r="AQ18" i="2"/>
  <c r="AQ19" i="2"/>
  <c r="AQ20" i="2"/>
  <c r="AQ21" i="2"/>
  <c r="AQ22" i="2"/>
  <c r="AQ23" i="2"/>
  <c r="AQ24" i="2"/>
  <c r="AQ25" i="2"/>
  <c r="AQ26" i="2"/>
  <c r="AQ27" i="2"/>
  <c r="AQ28" i="2"/>
  <c r="AQ29" i="2"/>
  <c r="AQ30" i="2"/>
  <c r="AQ31" i="2"/>
  <c r="AQ32" i="2"/>
  <c r="AQ33" i="2"/>
  <c r="AQ34" i="2"/>
  <c r="AQ35" i="2"/>
  <c r="AQ36" i="2"/>
  <c r="AQ37" i="2"/>
  <c r="AQ38" i="2"/>
  <c r="AQ39" i="2"/>
  <c r="AQ40" i="2"/>
  <c r="AQ41" i="2"/>
  <c r="AQ42" i="2"/>
  <c r="AQ43" i="2"/>
  <c r="AQ44" i="2"/>
  <c r="AL3" i="2"/>
  <c r="AL4" i="2"/>
  <c r="AL5" i="2"/>
  <c r="AL6" i="2"/>
  <c r="AL7" i="2"/>
  <c r="AL8" i="2"/>
  <c r="AL9" i="2"/>
  <c r="AL10" i="2"/>
  <c r="AL11" i="2"/>
  <c r="AL12" i="2"/>
  <c r="AL13" i="2"/>
  <c r="AL14" i="2"/>
  <c r="AL15" i="2"/>
  <c r="AL16" i="2"/>
  <c r="AL17" i="2"/>
  <c r="AL18" i="2"/>
  <c r="AL19" i="2"/>
  <c r="AL20" i="2"/>
  <c r="AL21" i="2"/>
  <c r="AL22" i="2"/>
  <c r="AL23" i="2"/>
  <c r="AL24" i="2"/>
  <c r="AL25" i="2"/>
  <c r="AL26" i="2"/>
  <c r="AL27" i="2"/>
  <c r="AL28" i="2"/>
  <c r="AL29" i="2"/>
  <c r="AL30" i="2"/>
  <c r="AL31" i="2"/>
  <c r="AL32" i="2"/>
  <c r="AL33" i="2"/>
  <c r="AL34" i="2"/>
  <c r="AL35" i="2"/>
  <c r="AL36" i="2"/>
  <c r="AL37" i="2"/>
  <c r="AL38" i="2"/>
  <c r="AL39" i="2"/>
  <c r="AL40" i="2"/>
  <c r="AL41" i="2"/>
  <c r="AL42" i="2"/>
  <c r="AL43" i="2"/>
  <c r="AL44" i="2"/>
  <c r="AJ17" i="2"/>
  <c r="AJ18" i="2"/>
  <c r="AJ19" i="2"/>
  <c r="AJ20" i="2"/>
  <c r="AJ16" i="2"/>
  <c r="AQ8" i="6"/>
  <c r="AV8" i="6"/>
  <c r="BK53" i="3" l="1"/>
  <c r="BF53" i="3"/>
  <c r="BA53" i="3"/>
  <c r="AV53" i="3"/>
  <c r="AQ53" i="3"/>
  <c r="AL53" i="3"/>
  <c r="AL44" i="1"/>
  <c r="AL43" i="1"/>
  <c r="AL42" i="1"/>
  <c r="AL41" i="1"/>
  <c r="AJ60" i="3" l="1"/>
  <c r="AJ61" i="3"/>
  <c r="AJ62" i="3"/>
  <c r="AJ63" i="3"/>
  <c r="AJ64" i="3"/>
  <c r="AJ65" i="3"/>
  <c r="AJ66" i="3"/>
  <c r="AJ67" i="3"/>
  <c r="AJ68" i="3"/>
  <c r="AJ69" i="3"/>
  <c r="AJ70" i="3"/>
  <c r="AJ71" i="3"/>
  <c r="AJ72" i="3"/>
  <c r="AJ73" i="3"/>
  <c r="AJ74" i="3"/>
  <c r="AJ59" i="3"/>
  <c r="AJ58" i="3"/>
  <c r="BF3" i="6"/>
  <c r="BF4" i="6"/>
  <c r="BF5" i="6"/>
  <c r="BF6" i="6"/>
  <c r="BF7" i="6"/>
  <c r="BF8" i="6"/>
  <c r="BF9" i="6"/>
  <c r="BF10" i="6"/>
  <c r="BF11" i="6"/>
  <c r="BF12" i="6"/>
  <c r="BF13" i="6"/>
  <c r="BF14" i="6"/>
  <c r="BF15" i="6"/>
  <c r="BF16" i="6"/>
  <c r="BF17" i="6"/>
  <c r="BF18" i="6"/>
  <c r="BF19" i="6"/>
  <c r="BF20" i="6"/>
  <c r="BF21" i="6"/>
  <c r="BF22" i="6"/>
  <c r="BF23" i="6"/>
  <c r="BF24" i="6"/>
  <c r="BF35" i="6"/>
  <c r="BF36" i="6"/>
  <c r="BF37" i="6"/>
  <c r="BF38" i="6"/>
  <c r="BF39" i="6"/>
  <c r="BF40" i="6"/>
  <c r="BF41" i="6"/>
  <c r="BF42" i="6"/>
  <c r="BF43" i="6"/>
  <c r="BF44" i="6"/>
  <c r="BF45" i="6"/>
  <c r="BF46" i="6"/>
  <c r="BF47" i="6"/>
  <c r="BF48" i="6"/>
  <c r="BF49" i="6"/>
  <c r="BF50" i="6"/>
  <c r="BF51" i="6"/>
  <c r="BK3" i="6"/>
  <c r="BK4" i="6"/>
  <c r="BK5" i="6"/>
  <c r="BK6" i="6"/>
  <c r="BK7" i="6"/>
  <c r="BK8" i="6"/>
  <c r="BK9" i="6"/>
  <c r="BK10" i="6"/>
  <c r="BK11" i="6"/>
  <c r="BK12" i="6"/>
  <c r="BK13" i="6"/>
  <c r="BK14" i="6"/>
  <c r="BK15" i="6"/>
  <c r="BK16" i="6"/>
  <c r="BK17" i="6"/>
  <c r="BK18" i="6"/>
  <c r="BK19" i="6"/>
  <c r="BK20" i="6"/>
  <c r="BK21" i="6"/>
  <c r="BK22" i="6"/>
  <c r="BK23" i="6"/>
  <c r="BK24" i="6"/>
  <c r="BK35" i="6"/>
  <c r="BK36" i="6"/>
  <c r="BK37" i="6"/>
  <c r="BK38" i="6"/>
  <c r="BK39" i="6"/>
  <c r="BK40" i="6"/>
  <c r="BK41" i="6"/>
  <c r="BK42" i="6"/>
  <c r="BK43" i="6"/>
  <c r="BK44" i="6"/>
  <c r="BK45" i="6"/>
  <c r="BK46" i="6"/>
  <c r="BK47" i="6"/>
  <c r="BK48" i="6"/>
  <c r="BK49" i="6"/>
  <c r="BK50" i="6"/>
  <c r="BK51" i="6"/>
  <c r="AV3" i="6"/>
  <c r="AV4" i="6"/>
  <c r="AV5" i="6"/>
  <c r="AV6" i="6"/>
  <c r="AV7" i="6"/>
  <c r="AV9" i="6"/>
  <c r="AV10" i="6"/>
  <c r="AV11" i="6"/>
  <c r="AV12" i="6"/>
  <c r="AV13" i="6"/>
  <c r="AV14" i="6"/>
  <c r="AV15" i="6"/>
  <c r="AV16" i="6"/>
  <c r="AV17" i="6"/>
  <c r="AV18" i="6"/>
  <c r="AV19" i="6"/>
  <c r="AV20" i="6"/>
  <c r="AV21" i="6"/>
  <c r="AV22" i="6"/>
  <c r="AV23" i="6"/>
  <c r="AV24" i="6"/>
  <c r="AV35" i="6"/>
  <c r="AV36" i="6"/>
  <c r="AV37" i="6"/>
  <c r="AV38" i="6"/>
  <c r="AV39" i="6"/>
  <c r="AV40" i="6"/>
  <c r="AV41" i="6"/>
  <c r="AV42" i="6"/>
  <c r="AV43" i="6"/>
  <c r="AV44" i="6"/>
  <c r="AV45" i="6"/>
  <c r="AV46" i="6"/>
  <c r="AV47" i="6"/>
  <c r="AV48" i="6"/>
  <c r="AV49" i="6"/>
  <c r="AV50" i="6"/>
  <c r="AV51" i="6"/>
  <c r="BA3" i="6"/>
  <c r="BA4" i="6"/>
  <c r="BA5" i="6"/>
  <c r="BA6" i="6"/>
  <c r="BA7" i="6"/>
  <c r="BA8" i="6"/>
  <c r="BA9" i="6"/>
  <c r="BA10" i="6"/>
  <c r="BA11" i="6"/>
  <c r="BA12" i="6"/>
  <c r="BA13" i="6"/>
  <c r="BA14" i="6"/>
  <c r="BA15" i="6"/>
  <c r="BA16" i="6"/>
  <c r="BA17" i="6"/>
  <c r="BA18" i="6"/>
  <c r="BA19" i="6"/>
  <c r="BA20" i="6"/>
  <c r="BA21" i="6"/>
  <c r="BA22" i="6"/>
  <c r="BA23" i="6"/>
  <c r="BA24" i="6"/>
  <c r="BA35" i="6"/>
  <c r="BA36" i="6"/>
  <c r="BA37" i="6"/>
  <c r="BA38" i="6"/>
  <c r="BA39" i="6"/>
  <c r="BA40" i="6"/>
  <c r="BA41" i="6"/>
  <c r="BA42" i="6"/>
  <c r="BA43" i="6"/>
  <c r="BA44" i="6"/>
  <c r="BA45" i="6"/>
  <c r="BA46" i="6"/>
  <c r="BA47" i="6"/>
  <c r="BA48" i="6"/>
  <c r="BA49" i="6"/>
  <c r="BA50" i="6"/>
  <c r="BA51" i="6"/>
  <c r="AQ24" i="6"/>
  <c r="AJ24" i="6"/>
  <c r="AJ20" i="6" l="1"/>
  <c r="AJ21" i="6"/>
  <c r="AJ22" i="6"/>
  <c r="AJ23" i="6"/>
  <c r="AJ19" i="6"/>
  <c r="AL24" i="7" l="1"/>
  <c r="AL25" i="7"/>
  <c r="AL26" i="7"/>
  <c r="AL27" i="7"/>
  <c r="AL28" i="7"/>
  <c r="AL29" i="7"/>
  <c r="AL30" i="7"/>
  <c r="AL31" i="7"/>
  <c r="AL32" i="7"/>
  <c r="AL33" i="7"/>
  <c r="AL34" i="7"/>
  <c r="AL23" i="7"/>
  <c r="AL22" i="7"/>
  <c r="AJ30" i="7"/>
  <c r="AJ31" i="7"/>
  <c r="AJ32" i="7"/>
  <c r="AJ33" i="7"/>
  <c r="AJ34" i="7"/>
  <c r="AJ29" i="7"/>
  <c r="AQ58" i="3" l="1"/>
  <c r="AL55" i="3"/>
  <c r="AL56" i="3"/>
  <c r="AL57" i="3"/>
  <c r="AL58" i="3"/>
  <c r="AL59" i="3"/>
  <c r="AL60" i="3"/>
  <c r="AL61" i="3"/>
  <c r="AL62" i="3"/>
  <c r="AL63" i="3"/>
  <c r="AL64" i="3"/>
  <c r="AL65" i="3"/>
  <c r="AL66" i="3"/>
  <c r="AL67" i="3"/>
  <c r="AL68" i="3"/>
  <c r="AL69" i="3"/>
  <c r="AL70" i="3"/>
  <c r="AL71" i="3"/>
  <c r="AL72" i="3"/>
  <c r="AL73" i="3"/>
  <c r="AL74" i="3"/>
  <c r="AL54" i="3"/>
  <c r="AL52" i="3"/>
  <c r="BK74" i="3"/>
  <c r="BF74" i="3"/>
  <c r="BA74" i="3"/>
  <c r="AV74" i="3"/>
  <c r="BK73" i="3"/>
  <c r="BF73" i="3"/>
  <c r="BA73" i="3"/>
  <c r="AV73" i="3"/>
  <c r="AQ73" i="3"/>
  <c r="BK72" i="3"/>
  <c r="BF72" i="3"/>
  <c r="BA72" i="3"/>
  <c r="AV72" i="3"/>
  <c r="AQ72" i="3"/>
  <c r="BK71" i="3"/>
  <c r="BF71" i="3"/>
  <c r="BA71" i="3"/>
  <c r="AV71" i="3"/>
  <c r="AQ71" i="3"/>
  <c r="BK70" i="3"/>
  <c r="BF70" i="3"/>
  <c r="BA70" i="3"/>
  <c r="AV70" i="3"/>
  <c r="AQ70" i="3"/>
  <c r="AQ23" i="6" l="1"/>
  <c r="AB23" i="6"/>
  <c r="AQ22" i="6"/>
  <c r="AB22" i="6"/>
  <c r="AQ21" i="6"/>
  <c r="AB21" i="6"/>
  <c r="AV3" i="2" l="1"/>
  <c r="AV4" i="2"/>
  <c r="AV5" i="2"/>
  <c r="AV6" i="2"/>
  <c r="AV7" i="2"/>
  <c r="AV8" i="2"/>
  <c r="AV9" i="2"/>
  <c r="AV10" i="2"/>
  <c r="AV11" i="2"/>
  <c r="AV12" i="2"/>
  <c r="AV13" i="2"/>
  <c r="AV14" i="2"/>
  <c r="AV15" i="2"/>
  <c r="AV16" i="2"/>
  <c r="AV17" i="2"/>
  <c r="AV18" i="2"/>
  <c r="AV19" i="2"/>
  <c r="AV20" i="2"/>
  <c r="AV21" i="2"/>
  <c r="AV22" i="2"/>
  <c r="AV23" i="2"/>
  <c r="AV24" i="2"/>
  <c r="AV25" i="2"/>
  <c r="AV26" i="2"/>
  <c r="AV27" i="2"/>
  <c r="AV28" i="2"/>
  <c r="AV29" i="2"/>
  <c r="AV30" i="2"/>
  <c r="AV31" i="2"/>
  <c r="AV32" i="2"/>
  <c r="AV33" i="2"/>
  <c r="AV34" i="2"/>
  <c r="AV35" i="2"/>
  <c r="AV36" i="2"/>
  <c r="AV37" i="2"/>
  <c r="AV38" i="2"/>
  <c r="AV39" i="2"/>
  <c r="AV40" i="2"/>
  <c r="AV41" i="2"/>
  <c r="AV42" i="2"/>
  <c r="AV43" i="2"/>
  <c r="AV44" i="2"/>
  <c r="BA3" i="2"/>
  <c r="BA4" i="2"/>
  <c r="BA5" i="2"/>
  <c r="BA6" i="2"/>
  <c r="BA7" i="2"/>
  <c r="BA8" i="2"/>
  <c r="BA9" i="2"/>
  <c r="BA10" i="2"/>
  <c r="BA11" i="2"/>
  <c r="BA12" i="2"/>
  <c r="BA13" i="2"/>
  <c r="BA14" i="2"/>
  <c r="BA15" i="2"/>
  <c r="BA16" i="2"/>
  <c r="BA17" i="2"/>
  <c r="BA18" i="2"/>
  <c r="BA19" i="2"/>
  <c r="BA20" i="2"/>
  <c r="BA21" i="2"/>
  <c r="BA22" i="2"/>
  <c r="BA23" i="2"/>
  <c r="BA24" i="2"/>
  <c r="BA25" i="2"/>
  <c r="BA26" i="2"/>
  <c r="BA27" i="2"/>
  <c r="BA28" i="2"/>
  <c r="BA29" i="2"/>
  <c r="BA30" i="2"/>
  <c r="BA31" i="2"/>
  <c r="BA32" i="2"/>
  <c r="BA33" i="2"/>
  <c r="BA34" i="2"/>
  <c r="BA35" i="2"/>
  <c r="BA36" i="2"/>
  <c r="BA37" i="2"/>
  <c r="BA38" i="2"/>
  <c r="BA39" i="2"/>
  <c r="BA40" i="2"/>
  <c r="BA41" i="2"/>
  <c r="BA42" i="2"/>
  <c r="BA43" i="2"/>
  <c r="BA44" i="2"/>
  <c r="BF3" i="2"/>
  <c r="BF4" i="2"/>
  <c r="BF5" i="2"/>
  <c r="BF6" i="2"/>
  <c r="BF7" i="2"/>
  <c r="BF8" i="2"/>
  <c r="BF9" i="2"/>
  <c r="BF10" i="2"/>
  <c r="BF11" i="2"/>
  <c r="BF12" i="2"/>
  <c r="BF13" i="2"/>
  <c r="BF14" i="2"/>
  <c r="BF15" i="2"/>
  <c r="BF16" i="2"/>
  <c r="BF17" i="2"/>
  <c r="BF18" i="2"/>
  <c r="BF19" i="2"/>
  <c r="BF20" i="2"/>
  <c r="BF21" i="2"/>
  <c r="BF22" i="2"/>
  <c r="BF23" i="2"/>
  <c r="BF24" i="2"/>
  <c r="BF25" i="2"/>
  <c r="BF26" i="2"/>
  <c r="BF27" i="2"/>
  <c r="BF28" i="2"/>
  <c r="BF29" i="2"/>
  <c r="BF30" i="2"/>
  <c r="BF31" i="2"/>
  <c r="BF32" i="2"/>
  <c r="BF33" i="2"/>
  <c r="BF34" i="2"/>
  <c r="BF35" i="2"/>
  <c r="BF36" i="2"/>
  <c r="BF37" i="2"/>
  <c r="BF38" i="2"/>
  <c r="BF39" i="2"/>
  <c r="BF40" i="2"/>
  <c r="BF41" i="2"/>
  <c r="BF42" i="2"/>
  <c r="BF43" i="2"/>
  <c r="BF44" i="2"/>
  <c r="BK3" i="2"/>
  <c r="BK4" i="2"/>
  <c r="BK5" i="2"/>
  <c r="BK6" i="2"/>
  <c r="BK7" i="2"/>
  <c r="BK8" i="2"/>
  <c r="BK9" i="2"/>
  <c r="BK10" i="2"/>
  <c r="BK11" i="2"/>
  <c r="BK12" i="2"/>
  <c r="BK13" i="2"/>
  <c r="BK14" i="2"/>
  <c r="BK15" i="2"/>
  <c r="BK16" i="2"/>
  <c r="BK17" i="2"/>
  <c r="BK18" i="2"/>
  <c r="BK19" i="2"/>
  <c r="BK20" i="2"/>
  <c r="BK21" i="2"/>
  <c r="BK22" i="2"/>
  <c r="BK23" i="2"/>
  <c r="BK24" i="2"/>
  <c r="BK25" i="2"/>
  <c r="BK26" i="2"/>
  <c r="BK27" i="2"/>
  <c r="BK28" i="2"/>
  <c r="BK29" i="2"/>
  <c r="BK30" i="2"/>
  <c r="BK31" i="2"/>
  <c r="BK32" i="2"/>
  <c r="BK33" i="2"/>
  <c r="BK34" i="2"/>
  <c r="BK35" i="2"/>
  <c r="BK36" i="2"/>
  <c r="BK37" i="2"/>
  <c r="BK38" i="2"/>
  <c r="BK39" i="2"/>
  <c r="BK40" i="2"/>
  <c r="BK41" i="2"/>
  <c r="BK42" i="2"/>
  <c r="BK43" i="2"/>
  <c r="BK44" i="2"/>
  <c r="AB20" i="2"/>
  <c r="R20" i="2"/>
  <c r="BK69" i="3"/>
  <c r="BF69" i="3"/>
  <c r="BA69" i="3"/>
  <c r="AV69" i="3"/>
  <c r="AQ69" i="3"/>
  <c r="BK68" i="3" l="1"/>
  <c r="BF68" i="3"/>
  <c r="BA68" i="3"/>
  <c r="AV68" i="3"/>
  <c r="AQ68" i="3"/>
  <c r="BK67" i="3"/>
  <c r="BF67" i="3"/>
  <c r="BA67" i="3"/>
  <c r="AV67" i="3"/>
  <c r="AQ67" i="3"/>
  <c r="BK66" i="3"/>
  <c r="BF66" i="3"/>
  <c r="BA66" i="3"/>
  <c r="AV66" i="3"/>
  <c r="AQ66" i="3"/>
  <c r="BK65" i="3"/>
  <c r="BF65" i="3"/>
  <c r="BA65" i="3"/>
  <c r="AV65" i="3"/>
  <c r="AQ65" i="3"/>
  <c r="BK64" i="3"/>
  <c r="BF64" i="3"/>
  <c r="BA64" i="3"/>
  <c r="AV64" i="3"/>
  <c r="AQ64" i="3"/>
  <c r="BK63" i="3"/>
  <c r="BF63" i="3"/>
  <c r="BA63" i="3"/>
  <c r="AV63" i="3"/>
  <c r="AQ63" i="3"/>
  <c r="BK62" i="3" l="1"/>
  <c r="BF62" i="3"/>
  <c r="BA62" i="3"/>
  <c r="AV62" i="3"/>
  <c r="AQ62" i="3"/>
  <c r="AQ20" i="6"/>
  <c r="AB20" i="6"/>
  <c r="BK61" i="3" l="1"/>
  <c r="BF61" i="3"/>
  <c r="BA61" i="3"/>
  <c r="AV61" i="3"/>
  <c r="AQ61" i="3"/>
  <c r="BK60" i="3"/>
  <c r="BF60" i="3"/>
  <c r="BA60" i="3"/>
  <c r="AV60" i="3"/>
  <c r="AQ60" i="3"/>
  <c r="BK59" i="3"/>
  <c r="BF59" i="3"/>
  <c r="BA59" i="3"/>
  <c r="AV59" i="3"/>
  <c r="AQ59" i="3"/>
  <c r="BK58" i="3"/>
  <c r="BF58" i="3"/>
  <c r="BA58" i="3"/>
  <c r="AV58" i="3"/>
  <c r="BK46" i="1"/>
  <c r="BF46" i="1"/>
  <c r="BA46" i="1"/>
  <c r="AV46" i="1"/>
  <c r="AQ46" i="1"/>
  <c r="AL46" i="1"/>
  <c r="BK45" i="1"/>
  <c r="BF45" i="1"/>
  <c r="BA45" i="1"/>
  <c r="AV45" i="1"/>
  <c r="AQ45" i="1"/>
  <c r="AL45" i="1"/>
  <c r="AB19" i="2"/>
  <c r="R19" i="2"/>
  <c r="AB18" i="2"/>
  <c r="R18" i="2"/>
  <c r="AB17" i="2"/>
  <c r="R17" i="2"/>
  <c r="BK34" i="7" l="1"/>
  <c r="BF34" i="7"/>
  <c r="BA34" i="7"/>
  <c r="AV34" i="7"/>
  <c r="AQ34" i="7"/>
  <c r="AB34" i="7"/>
  <c r="R34" i="7"/>
  <c r="BK33" i="7"/>
  <c r="BF33" i="7"/>
  <c r="BA33" i="7"/>
  <c r="AV33" i="7"/>
  <c r="AQ33" i="7"/>
  <c r="AB33" i="7"/>
  <c r="R33" i="7"/>
  <c r="BK32" i="7"/>
  <c r="BF32" i="7"/>
  <c r="BA32" i="7"/>
  <c r="AV32" i="7"/>
  <c r="AQ32" i="7"/>
  <c r="AB32" i="7"/>
  <c r="R32" i="7"/>
  <c r="BK31" i="7"/>
  <c r="BF31" i="7"/>
  <c r="BA31" i="7"/>
  <c r="AV31" i="7"/>
  <c r="AQ31" i="7"/>
  <c r="AB31" i="7"/>
  <c r="R31" i="7"/>
  <c r="BK30" i="7"/>
  <c r="BF30" i="7"/>
  <c r="BA30" i="7"/>
  <c r="AV30" i="7"/>
  <c r="AQ30" i="7"/>
  <c r="AB30" i="7"/>
  <c r="R30" i="7"/>
  <c r="BK29" i="7"/>
  <c r="BF29" i="7"/>
  <c r="BA29" i="7"/>
  <c r="AV29" i="7"/>
  <c r="AQ29" i="7"/>
  <c r="AB29" i="7"/>
  <c r="R29" i="7"/>
  <c r="BK52" i="7" l="1"/>
  <c r="BF52" i="7"/>
  <c r="BA52" i="7"/>
  <c r="AV52" i="7"/>
  <c r="AQ52" i="7"/>
  <c r="AL52" i="7"/>
  <c r="AJ52" i="7"/>
  <c r="AB52" i="7"/>
  <c r="R52" i="7"/>
  <c r="BK51" i="7"/>
  <c r="BF51" i="7"/>
  <c r="BA51" i="7"/>
  <c r="AV51" i="7"/>
  <c r="AQ51" i="7"/>
  <c r="AL51" i="7"/>
  <c r="AJ51" i="7"/>
  <c r="AB51" i="7"/>
  <c r="R51" i="7"/>
  <c r="BK50" i="7"/>
  <c r="BF50" i="7"/>
  <c r="BA50" i="7"/>
  <c r="AV50" i="7"/>
  <c r="AQ50" i="7"/>
  <c r="AL50" i="7"/>
  <c r="AJ50" i="7"/>
  <c r="AB50" i="7"/>
  <c r="R50" i="7"/>
  <c r="BK49" i="7"/>
  <c r="BF49" i="7"/>
  <c r="BA49" i="7"/>
  <c r="AV49" i="7"/>
  <c r="AQ49" i="7"/>
  <c r="AL49" i="7"/>
  <c r="AJ49" i="7"/>
  <c r="AB49" i="7"/>
  <c r="R49" i="7"/>
  <c r="BK48" i="7"/>
  <c r="BF48" i="7"/>
  <c r="BA48" i="7"/>
  <c r="AV48" i="7"/>
  <c r="AQ48" i="7"/>
  <c r="AL48" i="7"/>
  <c r="AJ48" i="7"/>
  <c r="AB48" i="7"/>
  <c r="R48" i="7"/>
  <c r="BK47" i="7"/>
  <c r="BF47" i="7"/>
  <c r="BA47" i="7"/>
  <c r="AV47" i="7"/>
  <c r="AQ47" i="7"/>
  <c r="AL47" i="7"/>
  <c r="AJ47" i="7"/>
  <c r="AB47" i="7"/>
  <c r="R47" i="7"/>
  <c r="BK46" i="7"/>
  <c r="BF46" i="7"/>
  <c r="BA46" i="7"/>
  <c r="AV46" i="7"/>
  <c r="AQ46" i="7"/>
  <c r="AL46" i="7"/>
  <c r="AJ46" i="7"/>
  <c r="AB46" i="7"/>
  <c r="R46" i="7"/>
  <c r="BK45" i="7"/>
  <c r="BF45" i="7"/>
  <c r="BA45" i="7"/>
  <c r="AV45" i="7"/>
  <c r="AQ45" i="7"/>
  <c r="AL45" i="7"/>
  <c r="AJ45" i="7"/>
  <c r="AB45" i="7"/>
  <c r="R45" i="7"/>
  <c r="BK44" i="7"/>
  <c r="BF44" i="7"/>
  <c r="BA44" i="7"/>
  <c r="AV44" i="7"/>
  <c r="AQ44" i="7"/>
  <c r="AL44" i="7"/>
  <c r="AJ44" i="7"/>
  <c r="AB44" i="7"/>
  <c r="R44" i="7"/>
  <c r="BK43" i="7"/>
  <c r="BF43" i="7"/>
  <c r="BA43" i="7"/>
  <c r="AV43" i="7"/>
  <c r="AQ43" i="7"/>
  <c r="AL43" i="7"/>
  <c r="AJ43" i="7"/>
  <c r="AB43" i="7"/>
  <c r="R43" i="7"/>
  <c r="BK42" i="7"/>
  <c r="BF42" i="7"/>
  <c r="BA42" i="7"/>
  <c r="AV42" i="7"/>
  <c r="AQ42" i="7"/>
  <c r="AL42" i="7"/>
  <c r="AJ42" i="7"/>
  <c r="AB42" i="7"/>
  <c r="R42" i="7"/>
  <c r="BK41" i="7"/>
  <c r="BF41" i="7"/>
  <c r="BA41" i="7"/>
  <c r="AV41" i="7"/>
  <c r="AQ41" i="7"/>
  <c r="AL41" i="7"/>
  <c r="AJ41" i="7"/>
  <c r="AB41" i="7"/>
  <c r="R41" i="7"/>
  <c r="BK21" i="7"/>
  <c r="BF21" i="7"/>
  <c r="BA21" i="7"/>
  <c r="AV21" i="7"/>
  <c r="AQ21" i="7"/>
  <c r="AL21" i="7"/>
  <c r="AJ21" i="7"/>
  <c r="BK20" i="7"/>
  <c r="BF20" i="7"/>
  <c r="BA20" i="7"/>
  <c r="AV20" i="7"/>
  <c r="AQ20" i="7"/>
  <c r="AL20" i="7"/>
  <c r="AJ20" i="7"/>
  <c r="BK19" i="7"/>
  <c r="BF19" i="7"/>
  <c r="BA19" i="7"/>
  <c r="AV19" i="7"/>
  <c r="AQ19" i="7"/>
  <c r="AL19" i="7"/>
  <c r="AJ19" i="7"/>
  <c r="BK18" i="7"/>
  <c r="BF18" i="7"/>
  <c r="BA18" i="7"/>
  <c r="AV18" i="7"/>
  <c r="AQ18" i="7"/>
  <c r="AL18" i="7"/>
  <c r="AJ18" i="7"/>
  <c r="BK17" i="7"/>
  <c r="BF17" i="7"/>
  <c r="BA17" i="7"/>
  <c r="AV17" i="7"/>
  <c r="AQ17" i="7"/>
  <c r="AL17" i="7"/>
  <c r="AJ17" i="7"/>
  <c r="BK16" i="7"/>
  <c r="BF16" i="7"/>
  <c r="BA16" i="7"/>
  <c r="AV16" i="7"/>
  <c r="AQ16" i="7"/>
  <c r="AL16" i="7"/>
  <c r="AJ16" i="7"/>
  <c r="BK15" i="7"/>
  <c r="BF15" i="7"/>
  <c r="BA15" i="7"/>
  <c r="AV15" i="7"/>
  <c r="AQ15" i="7"/>
  <c r="AL15" i="7"/>
  <c r="AJ15" i="7"/>
  <c r="BK14" i="7"/>
  <c r="BF14" i="7"/>
  <c r="BA14" i="7"/>
  <c r="AV14" i="7"/>
  <c r="AQ14" i="7"/>
  <c r="AL14" i="7"/>
  <c r="AJ14" i="7"/>
  <c r="BK13" i="7"/>
  <c r="BF13" i="7"/>
  <c r="BA13" i="7"/>
  <c r="AV13" i="7"/>
  <c r="AQ13" i="7"/>
  <c r="AL13" i="7"/>
  <c r="AJ13" i="7"/>
  <c r="AB13" i="7"/>
  <c r="R13" i="7"/>
  <c r="BK12" i="7"/>
  <c r="BF12" i="7"/>
  <c r="BA12" i="7"/>
  <c r="AV12" i="7"/>
  <c r="AQ12" i="7"/>
  <c r="AL12" i="7"/>
  <c r="AJ12" i="7"/>
  <c r="AB12" i="7"/>
  <c r="R12" i="7"/>
  <c r="BK11" i="7"/>
  <c r="BF11" i="7"/>
  <c r="BA11" i="7"/>
  <c r="AV11" i="7"/>
  <c r="AQ11" i="7"/>
  <c r="AL11" i="7"/>
  <c r="AJ11" i="7"/>
  <c r="AB11" i="7"/>
  <c r="R11" i="7"/>
  <c r="BK10" i="7"/>
  <c r="BF10" i="7"/>
  <c r="BA10" i="7"/>
  <c r="AV10" i="7"/>
  <c r="AQ10" i="7"/>
  <c r="AL10" i="7"/>
  <c r="AJ10" i="7"/>
  <c r="AB10" i="7"/>
  <c r="R10" i="7"/>
  <c r="BK9" i="7"/>
  <c r="BF9" i="7"/>
  <c r="BA9" i="7"/>
  <c r="AV9" i="7"/>
  <c r="AQ9" i="7"/>
  <c r="AL9" i="7"/>
  <c r="AJ9" i="7"/>
  <c r="AB9" i="7"/>
  <c r="R9" i="7"/>
  <c r="AQ8" i="7"/>
  <c r="AL8" i="7"/>
  <c r="AJ8" i="7"/>
  <c r="R8" i="7"/>
  <c r="AL7" i="7"/>
  <c r="AJ7" i="7"/>
  <c r="R7" i="7"/>
  <c r="AL6" i="7"/>
  <c r="AJ6" i="7"/>
  <c r="R6" i="7"/>
  <c r="BK5" i="7"/>
  <c r="BF5" i="7"/>
  <c r="BA5" i="7"/>
  <c r="AV5" i="7"/>
  <c r="AQ5" i="7"/>
  <c r="AL5" i="7"/>
  <c r="AJ5" i="7"/>
  <c r="AB5" i="7"/>
  <c r="R5" i="7"/>
  <c r="BK4" i="7"/>
  <c r="BF4" i="7"/>
  <c r="BA4" i="7"/>
  <c r="AV4" i="7"/>
  <c r="AQ4" i="7"/>
  <c r="AL4" i="7"/>
  <c r="AJ4" i="7"/>
  <c r="AB4" i="7"/>
  <c r="R4" i="7"/>
  <c r="BK3" i="7"/>
  <c r="BF3" i="7"/>
  <c r="BA3" i="7"/>
  <c r="AV3" i="7"/>
  <c r="AQ3" i="7"/>
  <c r="AL3" i="7"/>
  <c r="AJ3" i="7"/>
  <c r="AB3" i="7"/>
  <c r="R3" i="7"/>
  <c r="AQ51" i="6" l="1"/>
  <c r="AL51" i="6"/>
  <c r="AJ51" i="6"/>
  <c r="AB51" i="6"/>
  <c r="R51" i="6"/>
  <c r="AQ50" i="6"/>
  <c r="AL50" i="6"/>
  <c r="AJ50" i="6"/>
  <c r="AB50" i="6"/>
  <c r="R50" i="6"/>
  <c r="AQ49" i="6"/>
  <c r="AL49" i="6"/>
  <c r="AJ49" i="6"/>
  <c r="AB49" i="6"/>
  <c r="R49" i="6"/>
  <c r="AQ48" i="6"/>
  <c r="AL48" i="6"/>
  <c r="AJ48" i="6"/>
  <c r="AB48" i="6"/>
  <c r="R48" i="6"/>
  <c r="AQ47" i="6"/>
  <c r="AL47" i="6"/>
  <c r="AJ47" i="6"/>
  <c r="AB47" i="6"/>
  <c r="R47" i="6"/>
  <c r="AQ46" i="6"/>
  <c r="AL46" i="6"/>
  <c r="AJ46" i="6"/>
  <c r="AB46" i="6"/>
  <c r="R46" i="6"/>
  <c r="AQ45" i="6"/>
  <c r="AL45" i="6"/>
  <c r="AJ45" i="6"/>
  <c r="AB45" i="6"/>
  <c r="R45" i="6"/>
  <c r="AQ44" i="6"/>
  <c r="AL44" i="6"/>
  <c r="AJ44" i="6"/>
  <c r="AB44" i="6"/>
  <c r="R44" i="6"/>
  <c r="AQ43" i="6"/>
  <c r="AL43" i="6"/>
  <c r="AJ43" i="6"/>
  <c r="AB43" i="6"/>
  <c r="R43" i="6"/>
  <c r="AQ42" i="6"/>
  <c r="AL42" i="6"/>
  <c r="AJ42" i="6"/>
  <c r="AB42" i="6"/>
  <c r="R42" i="6"/>
  <c r="AQ41" i="6"/>
  <c r="AL41" i="6"/>
  <c r="AJ41" i="6"/>
  <c r="AB41" i="6"/>
  <c r="R41" i="6"/>
  <c r="AQ40" i="6"/>
  <c r="AL40" i="6"/>
  <c r="AJ40" i="6"/>
  <c r="AB40" i="6"/>
  <c r="R40" i="6"/>
  <c r="AQ39" i="6"/>
  <c r="AL39" i="6"/>
  <c r="AJ39" i="6"/>
  <c r="AB39" i="6"/>
  <c r="R39" i="6"/>
  <c r="AQ38" i="6"/>
  <c r="AL38" i="6"/>
  <c r="AJ38" i="6"/>
  <c r="AB38" i="6"/>
  <c r="R38" i="6"/>
  <c r="AQ37" i="6"/>
  <c r="AL37" i="6"/>
  <c r="AJ37" i="6"/>
  <c r="AB37" i="6"/>
  <c r="R37" i="6"/>
  <c r="AQ36" i="6"/>
  <c r="AL36" i="6"/>
  <c r="AJ36" i="6"/>
  <c r="AB36" i="6"/>
  <c r="R36" i="6"/>
  <c r="AQ35" i="6"/>
  <c r="AL35" i="6"/>
  <c r="AJ35" i="6"/>
  <c r="AB35" i="6"/>
  <c r="R35" i="6"/>
  <c r="AQ18" i="6"/>
  <c r="AJ18" i="6"/>
  <c r="AB18" i="6"/>
  <c r="R18" i="6"/>
  <c r="AQ17" i="6"/>
  <c r="AJ17" i="6"/>
  <c r="AB17" i="6"/>
  <c r="R17" i="6"/>
  <c r="AQ16" i="6"/>
  <c r="AL16" i="6"/>
  <c r="AJ16" i="6"/>
  <c r="AB16" i="6"/>
  <c r="R16" i="6"/>
  <c r="AQ15" i="6"/>
  <c r="AL15" i="6"/>
  <c r="AJ15" i="6"/>
  <c r="AB15" i="6"/>
  <c r="R15" i="6"/>
  <c r="AQ14" i="6"/>
  <c r="AL14" i="6"/>
  <c r="AJ14" i="6"/>
  <c r="AB14" i="6"/>
  <c r="R14" i="6"/>
  <c r="AQ13" i="6"/>
  <c r="AL13" i="6"/>
  <c r="AJ13" i="6"/>
  <c r="AB13" i="6"/>
  <c r="R13" i="6"/>
  <c r="AQ12" i="6"/>
  <c r="AL12" i="6"/>
  <c r="AJ12" i="6"/>
  <c r="AB12" i="6"/>
  <c r="R12" i="6"/>
  <c r="AQ11" i="6"/>
  <c r="AL11" i="6"/>
  <c r="AJ11" i="6"/>
  <c r="AB11" i="6"/>
  <c r="R11" i="6"/>
  <c r="AQ10" i="6"/>
  <c r="AL10" i="6"/>
  <c r="AJ10" i="6"/>
  <c r="AB10" i="6"/>
  <c r="R10" i="6"/>
  <c r="AQ9" i="6"/>
  <c r="AL9" i="6"/>
  <c r="AJ9" i="6"/>
  <c r="AB9" i="6"/>
  <c r="R9" i="6"/>
  <c r="AJ8" i="6"/>
  <c r="AB8" i="6"/>
  <c r="R8" i="6"/>
  <c r="AQ7" i="6"/>
  <c r="AL7" i="6"/>
  <c r="AJ7" i="6"/>
  <c r="AB7" i="6"/>
  <c r="R7" i="6"/>
  <c r="AQ6" i="6"/>
  <c r="AL6" i="6"/>
  <c r="AJ6" i="6"/>
  <c r="AB6" i="6"/>
  <c r="R6" i="6"/>
  <c r="AQ5" i="6"/>
  <c r="AL5" i="6"/>
  <c r="AJ5" i="6"/>
  <c r="AB5" i="6"/>
  <c r="R5" i="6"/>
  <c r="AQ4" i="6"/>
  <c r="AL4" i="6"/>
  <c r="AJ4" i="6"/>
  <c r="AB4" i="6"/>
  <c r="R4" i="6"/>
  <c r="AQ3" i="6"/>
  <c r="AL3" i="6"/>
  <c r="AJ3" i="6"/>
  <c r="AB3" i="6"/>
  <c r="R3" i="6"/>
  <c r="AB16" i="2" l="1"/>
  <c r="R16" i="2"/>
  <c r="BK74" i="5" l="1"/>
  <c r="BF74" i="5"/>
  <c r="BA74" i="5"/>
  <c r="AV74" i="5"/>
  <c r="AQ74" i="5"/>
  <c r="AL74" i="5"/>
  <c r="AJ74" i="5"/>
  <c r="R74" i="5"/>
  <c r="BK73" i="5"/>
  <c r="BF73" i="5"/>
  <c r="BA73" i="5"/>
  <c r="AV73" i="5"/>
  <c r="AQ73" i="5"/>
  <c r="AL73" i="5"/>
  <c r="AJ73" i="5"/>
  <c r="R73" i="5"/>
  <c r="BK72" i="5"/>
  <c r="BF72" i="5"/>
  <c r="BA72" i="5"/>
  <c r="AV72" i="5"/>
  <c r="AQ72" i="5"/>
  <c r="AL72" i="5"/>
  <c r="AJ72" i="5"/>
  <c r="R72" i="5"/>
  <c r="BK71" i="5"/>
  <c r="BF71" i="5"/>
  <c r="BA71" i="5"/>
  <c r="AV71" i="5"/>
  <c r="AQ71" i="5"/>
  <c r="AL71" i="5"/>
  <c r="AJ71" i="5"/>
  <c r="R71" i="5"/>
  <c r="BK70" i="5"/>
  <c r="BF70" i="5"/>
  <c r="BA70" i="5"/>
  <c r="AV70" i="5"/>
  <c r="AQ70" i="5"/>
  <c r="AL70" i="5"/>
  <c r="AJ70" i="5"/>
  <c r="R70" i="5"/>
  <c r="BK69" i="5"/>
  <c r="BF69" i="5"/>
  <c r="BA69" i="5"/>
  <c r="AV69" i="5"/>
  <c r="AQ69" i="5"/>
  <c r="AL69" i="5"/>
  <c r="AJ69" i="5"/>
  <c r="R69" i="5"/>
  <c r="BK68" i="5"/>
  <c r="BF68" i="5"/>
  <c r="BA68" i="5"/>
  <c r="AV68" i="5"/>
  <c r="AQ68" i="5"/>
  <c r="AL68" i="5"/>
  <c r="AJ68" i="5"/>
  <c r="R68" i="5"/>
  <c r="BK67" i="5"/>
  <c r="BF67" i="5"/>
  <c r="BA67" i="5"/>
  <c r="AV67" i="5"/>
  <c r="AQ67" i="5"/>
  <c r="AL67" i="5"/>
  <c r="AJ67" i="5"/>
  <c r="R67" i="5"/>
  <c r="BK66" i="5"/>
  <c r="BF66" i="5"/>
  <c r="BA66" i="5"/>
  <c r="AV66" i="5"/>
  <c r="AQ66" i="5"/>
  <c r="AL66" i="5"/>
  <c r="AJ66" i="5"/>
  <c r="R66" i="5"/>
  <c r="BK65" i="5"/>
  <c r="BF65" i="5"/>
  <c r="BA65" i="5"/>
  <c r="AV65" i="5"/>
  <c r="AQ65" i="5"/>
  <c r="AL65" i="5"/>
  <c r="AJ65" i="5"/>
  <c r="R65" i="5"/>
  <c r="BK64" i="5"/>
  <c r="BF64" i="5"/>
  <c r="BA64" i="5"/>
  <c r="AV64" i="5"/>
  <c r="AQ64" i="5"/>
  <c r="AL64" i="5"/>
  <c r="AJ64" i="5"/>
  <c r="R64" i="5"/>
  <c r="BK63" i="5"/>
  <c r="BF63" i="5"/>
  <c r="BA63" i="5"/>
  <c r="AV63" i="5"/>
  <c r="AQ63" i="5"/>
  <c r="AL63" i="5"/>
  <c r="AJ63" i="5"/>
  <c r="R63" i="5"/>
  <c r="BK62" i="5"/>
  <c r="BF62" i="5"/>
  <c r="BA62" i="5"/>
  <c r="AV62" i="5"/>
  <c r="AQ62" i="5"/>
  <c r="AL62" i="5"/>
  <c r="AJ62" i="5"/>
  <c r="R62" i="5"/>
  <c r="BK61" i="5"/>
  <c r="BF61" i="5"/>
  <c r="BA61" i="5"/>
  <c r="AV61" i="5"/>
  <c r="AQ61" i="5"/>
  <c r="AL61" i="5"/>
  <c r="AJ61" i="5"/>
  <c r="R61" i="5"/>
  <c r="BK60" i="5"/>
  <c r="BF60" i="5"/>
  <c r="BA60" i="5"/>
  <c r="AV60" i="5"/>
  <c r="AQ60" i="5"/>
  <c r="AL60" i="5"/>
  <c r="AJ60" i="5"/>
  <c r="R60" i="5"/>
  <c r="BK59" i="5"/>
  <c r="BF59" i="5"/>
  <c r="BA59" i="5"/>
  <c r="AV59" i="5"/>
  <c r="AQ59" i="5"/>
  <c r="AL59" i="5"/>
  <c r="AJ59" i="5"/>
  <c r="R59" i="5"/>
  <c r="BK58" i="5"/>
  <c r="BF58" i="5"/>
  <c r="BA58" i="5"/>
  <c r="AV58" i="5"/>
  <c r="AQ58" i="5"/>
  <c r="AL58" i="5"/>
  <c r="AJ58" i="5"/>
  <c r="R58" i="5"/>
  <c r="BK57" i="5"/>
  <c r="BF57" i="5"/>
  <c r="BA57" i="5"/>
  <c r="AV57" i="5"/>
  <c r="AQ57" i="5"/>
  <c r="AL57" i="5"/>
  <c r="AJ57" i="5"/>
  <c r="R57" i="5"/>
  <c r="BK56" i="5"/>
  <c r="BF56" i="5"/>
  <c r="BA56" i="5"/>
  <c r="AV56" i="5"/>
  <c r="AQ56" i="5"/>
  <c r="AL56" i="5"/>
  <c r="AJ56" i="5"/>
  <c r="R56" i="5"/>
  <c r="BK55" i="5"/>
  <c r="BF55" i="5"/>
  <c r="BA55" i="5"/>
  <c r="AV55" i="5"/>
  <c r="AQ55" i="5"/>
  <c r="AL55" i="5"/>
  <c r="AJ55" i="5"/>
  <c r="R55" i="5"/>
  <c r="BK54" i="5"/>
  <c r="BF54" i="5"/>
  <c r="BA54" i="5"/>
  <c r="AV54" i="5"/>
  <c r="AQ54" i="5"/>
  <c r="AL54" i="5"/>
  <c r="AJ54" i="5"/>
  <c r="R54" i="5"/>
  <c r="BK53" i="5"/>
  <c r="BF53" i="5"/>
  <c r="BA53" i="5"/>
  <c r="AV53" i="5"/>
  <c r="AQ53" i="5"/>
  <c r="AL53" i="5"/>
  <c r="AJ53" i="5"/>
  <c r="R53" i="5"/>
  <c r="BK52" i="5"/>
  <c r="BF52" i="5"/>
  <c r="BA52" i="5"/>
  <c r="AV52" i="5"/>
  <c r="AQ52" i="5"/>
  <c r="AL52" i="5"/>
  <c r="AJ52" i="5"/>
  <c r="R52" i="5"/>
  <c r="BK51" i="5"/>
  <c r="BF51" i="5"/>
  <c r="BA51" i="5"/>
  <c r="AV51" i="5"/>
  <c r="AQ51" i="5"/>
  <c r="AL51" i="5"/>
  <c r="AJ51" i="5"/>
  <c r="AB51" i="5"/>
  <c r="R51" i="5"/>
  <c r="BK50" i="5"/>
  <c r="BF50" i="5"/>
  <c r="BA50" i="5"/>
  <c r="AV50" i="5"/>
  <c r="AQ50" i="5"/>
  <c r="AL50" i="5"/>
  <c r="AJ50" i="5"/>
  <c r="AB50" i="5"/>
  <c r="R50" i="5"/>
  <c r="BK49" i="5"/>
  <c r="BF49" i="5"/>
  <c r="BA49" i="5"/>
  <c r="AV49" i="5"/>
  <c r="AQ49" i="5"/>
  <c r="AL49" i="5"/>
  <c r="AJ49" i="5"/>
  <c r="AB49" i="5"/>
  <c r="R49" i="5"/>
  <c r="BK48" i="5"/>
  <c r="BF48" i="5"/>
  <c r="BA48" i="5"/>
  <c r="AV48" i="5"/>
  <c r="AQ48" i="5"/>
  <c r="AL48" i="5"/>
  <c r="AJ48" i="5"/>
  <c r="AB48" i="5"/>
  <c r="R48" i="5"/>
  <c r="BK47" i="5"/>
  <c r="BF47" i="5"/>
  <c r="BA47" i="5"/>
  <c r="AV47" i="5"/>
  <c r="AQ47" i="5"/>
  <c r="AL47" i="5"/>
  <c r="AJ47" i="5"/>
  <c r="AB47" i="5"/>
  <c r="R47" i="5"/>
  <c r="BK46" i="5"/>
  <c r="BF46" i="5"/>
  <c r="BA46" i="5"/>
  <c r="AV46" i="5"/>
  <c r="AQ46" i="5"/>
  <c r="AL46" i="5"/>
  <c r="AJ46" i="5"/>
  <c r="AB46" i="5"/>
  <c r="R46" i="5"/>
  <c r="BK45" i="5"/>
  <c r="BF45" i="5"/>
  <c r="BA45" i="5"/>
  <c r="AV45" i="5"/>
  <c r="AQ45" i="5"/>
  <c r="AL45" i="5"/>
  <c r="AJ45" i="5"/>
  <c r="AB45" i="5"/>
  <c r="R45" i="5"/>
  <c r="BK44" i="5"/>
  <c r="BF44" i="5"/>
  <c r="BA44" i="5"/>
  <c r="AV44" i="5"/>
  <c r="AQ44" i="5"/>
  <c r="AL44" i="5"/>
  <c r="AJ44" i="5"/>
  <c r="AB44" i="5"/>
  <c r="R44" i="5"/>
  <c r="BK43" i="5"/>
  <c r="BF43" i="5"/>
  <c r="BA43" i="5"/>
  <c r="AV43" i="5"/>
  <c r="AQ43" i="5"/>
  <c r="AL43" i="5"/>
  <c r="AJ43" i="5"/>
  <c r="AB43" i="5"/>
  <c r="R43" i="5"/>
  <c r="BK42" i="5"/>
  <c r="BF42" i="5"/>
  <c r="BA42" i="5"/>
  <c r="AV42" i="5"/>
  <c r="AQ42" i="5"/>
  <c r="AL42" i="5"/>
  <c r="AJ42" i="5"/>
  <c r="AB42" i="5"/>
  <c r="R42" i="5"/>
  <c r="BK41" i="5"/>
  <c r="BF41" i="5"/>
  <c r="BA41" i="5"/>
  <c r="AV41" i="5"/>
  <c r="AQ41" i="5"/>
  <c r="AL41" i="5"/>
  <c r="AJ41" i="5"/>
  <c r="AB41" i="5"/>
  <c r="R41" i="5"/>
  <c r="BK40" i="5"/>
  <c r="BF40" i="5"/>
  <c r="BA40" i="5"/>
  <c r="AV40" i="5"/>
  <c r="AQ40" i="5"/>
  <c r="AL40" i="5"/>
  <c r="AJ40" i="5"/>
  <c r="R40" i="5"/>
  <c r="BK39" i="5"/>
  <c r="BF39" i="5"/>
  <c r="BA39" i="5"/>
  <c r="AV39" i="5"/>
  <c r="AQ39" i="5"/>
  <c r="AL39" i="5"/>
  <c r="AJ39" i="5"/>
  <c r="R39" i="5"/>
  <c r="BK38" i="5"/>
  <c r="BF38" i="5"/>
  <c r="BA38" i="5"/>
  <c r="AV38" i="5"/>
  <c r="AQ38" i="5"/>
  <c r="AL38" i="5"/>
  <c r="AJ38" i="5"/>
  <c r="R38" i="5"/>
  <c r="BK37" i="5"/>
  <c r="BF37" i="5"/>
  <c r="BA37" i="5"/>
  <c r="AV37" i="5"/>
  <c r="AQ37" i="5"/>
  <c r="AL37" i="5"/>
  <c r="AJ37" i="5"/>
  <c r="R37" i="5"/>
  <c r="BK36" i="5"/>
  <c r="BF36" i="5"/>
  <c r="BA36" i="5"/>
  <c r="AV36" i="5"/>
  <c r="AQ36" i="5"/>
  <c r="AL36" i="5"/>
  <c r="AJ36" i="5"/>
  <c r="R36" i="5"/>
  <c r="BK35" i="5"/>
  <c r="BF35" i="5"/>
  <c r="BA35" i="5"/>
  <c r="AV35" i="5"/>
  <c r="AQ35" i="5"/>
  <c r="AL35" i="5"/>
  <c r="AJ35" i="5"/>
  <c r="BK34" i="5"/>
  <c r="BF34" i="5"/>
  <c r="BA34" i="5"/>
  <c r="AV34" i="5"/>
  <c r="AQ34" i="5"/>
  <c r="AL34" i="5"/>
  <c r="AJ34" i="5"/>
  <c r="BK33" i="5"/>
  <c r="BF33" i="5"/>
  <c r="BA33" i="5"/>
  <c r="AV33" i="5"/>
  <c r="AQ33" i="5"/>
  <c r="AL33" i="5"/>
  <c r="AJ33" i="5"/>
  <c r="BK32" i="5"/>
  <c r="BF32" i="5"/>
  <c r="BA32" i="5"/>
  <c r="AV32" i="5"/>
  <c r="AQ32" i="5"/>
  <c r="AL32" i="5"/>
  <c r="AJ32" i="5"/>
  <c r="BK31" i="5"/>
  <c r="BF31" i="5"/>
  <c r="BA31" i="5"/>
  <c r="AV31" i="5"/>
  <c r="AQ31" i="5"/>
  <c r="AL31" i="5"/>
  <c r="AJ31" i="5"/>
  <c r="BK30" i="5"/>
  <c r="BF30" i="5"/>
  <c r="BA30" i="5"/>
  <c r="AV30" i="5"/>
  <c r="AQ30" i="5"/>
  <c r="AL30" i="5"/>
  <c r="AJ30" i="5"/>
  <c r="BK29" i="5"/>
  <c r="BF29" i="5"/>
  <c r="BA29" i="5"/>
  <c r="AV29" i="5"/>
  <c r="AQ29" i="5"/>
  <c r="AL29" i="5"/>
  <c r="AJ29" i="5"/>
  <c r="BK28" i="5"/>
  <c r="BF28" i="5"/>
  <c r="BA28" i="5"/>
  <c r="AV28" i="5"/>
  <c r="AQ28" i="5"/>
  <c r="AL28" i="5"/>
  <c r="AJ28" i="5"/>
  <c r="BK27" i="5"/>
  <c r="BF27" i="5"/>
  <c r="BA27" i="5"/>
  <c r="AV27" i="5"/>
  <c r="AQ27" i="5"/>
  <c r="AL27" i="5"/>
  <c r="AJ27" i="5"/>
  <c r="BK26" i="5"/>
  <c r="BF26" i="5"/>
  <c r="BA26" i="5"/>
  <c r="AV26" i="5"/>
  <c r="AQ26" i="5"/>
  <c r="AL26" i="5"/>
  <c r="AJ26" i="5"/>
  <c r="BK25" i="5"/>
  <c r="BF25" i="5"/>
  <c r="BA25" i="5"/>
  <c r="AV25" i="5"/>
  <c r="AQ25" i="5"/>
  <c r="AL25" i="5"/>
  <c r="AJ25" i="5"/>
  <c r="BK24" i="5"/>
  <c r="BF24" i="5"/>
  <c r="BA24" i="5"/>
  <c r="AV24" i="5"/>
  <c r="AQ24" i="5"/>
  <c r="AL24" i="5"/>
  <c r="AJ24" i="5"/>
  <c r="BK23" i="5"/>
  <c r="BF23" i="5"/>
  <c r="BA23" i="5"/>
  <c r="AV23" i="5"/>
  <c r="AQ23" i="5"/>
  <c r="AL23" i="5"/>
  <c r="AJ23" i="5"/>
  <c r="BK22" i="5"/>
  <c r="BF22" i="5"/>
  <c r="BA22" i="5"/>
  <c r="AV22" i="5"/>
  <c r="AQ22" i="5"/>
  <c r="AL22" i="5"/>
  <c r="AJ22" i="5"/>
  <c r="AL21" i="5"/>
  <c r="AJ21" i="5"/>
  <c r="AL20" i="5"/>
  <c r="AJ20" i="5"/>
  <c r="BK19" i="5"/>
  <c r="BF19" i="5"/>
  <c r="BA19" i="5"/>
  <c r="AV19" i="5"/>
  <c r="AQ19" i="5"/>
  <c r="AL19" i="5"/>
  <c r="AJ19" i="5"/>
  <c r="AB19" i="5"/>
  <c r="AL18" i="5"/>
  <c r="AL17" i="5"/>
  <c r="AL16" i="5"/>
  <c r="AL15" i="5"/>
  <c r="AL14" i="5"/>
  <c r="AL13" i="5"/>
  <c r="AL12" i="5"/>
  <c r="AL11" i="5"/>
  <c r="AL10" i="5"/>
  <c r="AL9" i="5"/>
  <c r="AL8" i="5"/>
  <c r="AL7" i="5"/>
  <c r="AL6" i="5"/>
  <c r="AL5" i="5"/>
  <c r="AL4" i="5"/>
  <c r="AL3" i="5"/>
  <c r="BK40" i="3" l="1"/>
  <c r="BF40" i="3"/>
  <c r="BA40" i="3"/>
  <c r="AV40" i="3"/>
  <c r="AQ40" i="3"/>
  <c r="AL40" i="3"/>
  <c r="AJ40" i="3"/>
  <c r="AB40" i="3"/>
  <c r="R40" i="3"/>
  <c r="BK9" i="3"/>
  <c r="BF9" i="3"/>
  <c r="BA9" i="3"/>
  <c r="AV9" i="3"/>
  <c r="AQ9" i="3"/>
  <c r="AL9" i="3"/>
  <c r="AJ9" i="3"/>
  <c r="AB9" i="3"/>
  <c r="R9" i="3"/>
  <c r="BK10" i="3"/>
  <c r="BF10" i="3"/>
  <c r="BA10" i="3"/>
  <c r="AV10" i="3"/>
  <c r="AQ10" i="3"/>
  <c r="AL10" i="3"/>
  <c r="AJ10" i="3"/>
  <c r="AB10" i="3"/>
  <c r="R10" i="3"/>
  <c r="BK38" i="3"/>
  <c r="BF38" i="3"/>
  <c r="BA38" i="3"/>
  <c r="AV38" i="3"/>
  <c r="AQ38" i="3"/>
  <c r="AL38" i="3"/>
  <c r="AJ38" i="3"/>
  <c r="AB38" i="3"/>
  <c r="R38" i="3"/>
  <c r="BK24" i="3"/>
  <c r="BF24" i="3"/>
  <c r="BA24" i="3"/>
  <c r="AV24" i="3"/>
  <c r="AQ24" i="3"/>
  <c r="AL24" i="3"/>
  <c r="AJ24" i="3"/>
  <c r="AB24" i="3"/>
  <c r="R24" i="3"/>
  <c r="BK14" i="3"/>
  <c r="BF14" i="3"/>
  <c r="BA14" i="3"/>
  <c r="AV14" i="3"/>
  <c r="AQ14" i="3"/>
  <c r="AL14" i="3"/>
  <c r="AJ14" i="3"/>
  <c r="AB14" i="3"/>
  <c r="R14" i="3"/>
  <c r="BK50" i="3"/>
  <c r="BF50" i="3"/>
  <c r="BA50" i="3"/>
  <c r="AV50" i="3"/>
  <c r="AQ50" i="3"/>
  <c r="AL50" i="3"/>
  <c r="AJ50" i="3"/>
  <c r="AB50" i="3"/>
  <c r="R50" i="3"/>
  <c r="BK49" i="3"/>
  <c r="BF49" i="3"/>
  <c r="BA49" i="3"/>
  <c r="AV49" i="3"/>
  <c r="AQ49" i="3"/>
  <c r="AL49" i="3"/>
  <c r="AJ49" i="3"/>
  <c r="AB49" i="3"/>
  <c r="R49" i="3"/>
  <c r="BK48" i="3"/>
  <c r="BF48" i="3"/>
  <c r="BA48" i="3"/>
  <c r="AV48" i="3"/>
  <c r="AQ48" i="3"/>
  <c r="AL48" i="3"/>
  <c r="AJ48" i="3"/>
  <c r="AB48" i="3"/>
  <c r="R48" i="3"/>
  <c r="BK47" i="3"/>
  <c r="BF47" i="3"/>
  <c r="BA47" i="3"/>
  <c r="AV47" i="3"/>
  <c r="AQ47" i="3"/>
  <c r="AL47" i="3"/>
  <c r="AJ47" i="3"/>
  <c r="AB47" i="3"/>
  <c r="R47" i="3"/>
  <c r="BK46" i="3"/>
  <c r="BF46" i="3"/>
  <c r="BA46" i="3"/>
  <c r="AV46" i="3"/>
  <c r="AQ46" i="3"/>
  <c r="AL46" i="3"/>
  <c r="AJ46" i="3"/>
  <c r="AB46" i="3"/>
  <c r="R46" i="3"/>
  <c r="BK45" i="3"/>
  <c r="BF45" i="3"/>
  <c r="BA45" i="3"/>
  <c r="AV45" i="3"/>
  <c r="AQ45" i="3"/>
  <c r="AL45" i="3"/>
  <c r="AJ45" i="3"/>
  <c r="AB45" i="3"/>
  <c r="R45" i="3"/>
  <c r="BK44" i="3"/>
  <c r="BF44" i="3"/>
  <c r="BA44" i="3"/>
  <c r="AV44" i="3"/>
  <c r="AQ44" i="3"/>
  <c r="AL44" i="3"/>
  <c r="AJ44" i="3"/>
  <c r="AB44" i="3"/>
  <c r="R44" i="3"/>
  <c r="BK28" i="3"/>
  <c r="BF28" i="3"/>
  <c r="BA28" i="3"/>
  <c r="AV28" i="3"/>
  <c r="AQ28" i="3"/>
  <c r="AL28" i="3"/>
  <c r="AJ28" i="3"/>
  <c r="AB28" i="3"/>
  <c r="R28" i="3"/>
  <c r="BK27" i="3"/>
  <c r="BF27" i="3"/>
  <c r="BA27" i="3"/>
  <c r="AV27" i="3"/>
  <c r="AQ27" i="3"/>
  <c r="AL27" i="3"/>
  <c r="AJ27" i="3"/>
  <c r="AB27" i="3"/>
  <c r="R27" i="3"/>
  <c r="BK19" i="3"/>
  <c r="BF19" i="3"/>
  <c r="BA19" i="3"/>
  <c r="AV19" i="3"/>
  <c r="AQ19" i="3"/>
  <c r="AL19" i="3"/>
  <c r="AJ19" i="3"/>
  <c r="AB19" i="3"/>
  <c r="R19" i="3"/>
  <c r="BK18" i="3"/>
  <c r="BF18" i="3"/>
  <c r="BA18" i="3"/>
  <c r="AV18" i="3"/>
  <c r="AQ18" i="3"/>
  <c r="AL18" i="3"/>
  <c r="AJ18" i="3"/>
  <c r="AB18" i="3"/>
  <c r="R18" i="3"/>
  <c r="BK31" i="3"/>
  <c r="BF31" i="3"/>
  <c r="BA31" i="3"/>
  <c r="AV31" i="3"/>
  <c r="AQ31" i="3"/>
  <c r="AL31" i="3"/>
  <c r="AJ31" i="3"/>
  <c r="AB31" i="3"/>
  <c r="R31" i="3"/>
  <c r="BK16" i="3"/>
  <c r="BF16" i="3"/>
  <c r="BA16" i="3"/>
  <c r="AV16" i="3"/>
  <c r="AQ16" i="3"/>
  <c r="AL16" i="3"/>
  <c r="AJ16" i="3"/>
  <c r="AB16" i="3"/>
  <c r="R16" i="3"/>
  <c r="BK30" i="3"/>
  <c r="BF30" i="3"/>
  <c r="BA30" i="3"/>
  <c r="AV30" i="3"/>
  <c r="AQ30" i="3"/>
  <c r="AL30" i="3"/>
  <c r="AJ30" i="3"/>
  <c r="AB30" i="3"/>
  <c r="R30" i="3"/>
  <c r="BK15" i="3"/>
  <c r="BF15" i="3"/>
  <c r="BA15" i="3"/>
  <c r="AV15" i="3"/>
  <c r="AQ15" i="3"/>
  <c r="AL15" i="3"/>
  <c r="AJ15" i="3"/>
  <c r="AB15" i="3"/>
  <c r="R15" i="3"/>
  <c r="BK20" i="3"/>
  <c r="BF20" i="3"/>
  <c r="BA20" i="3"/>
  <c r="AV20" i="3"/>
  <c r="AQ20" i="3"/>
  <c r="AL20" i="3"/>
  <c r="AJ20" i="3"/>
  <c r="AB20" i="3"/>
  <c r="R20" i="3"/>
  <c r="BK39" i="3"/>
  <c r="BF39" i="3"/>
  <c r="BA39" i="3"/>
  <c r="AV39" i="3"/>
  <c r="AQ39" i="3"/>
  <c r="AL39" i="3"/>
  <c r="AJ39" i="3"/>
  <c r="AB39" i="3"/>
  <c r="R39" i="3"/>
  <c r="BK4" i="3"/>
  <c r="BF4" i="3"/>
  <c r="BA4" i="3"/>
  <c r="AV4" i="3"/>
  <c r="AQ4" i="3"/>
  <c r="AL4" i="3"/>
  <c r="AJ4" i="3"/>
  <c r="AB4" i="3"/>
  <c r="R4" i="3"/>
  <c r="BK33" i="3"/>
  <c r="BF33" i="3"/>
  <c r="BA33" i="3"/>
  <c r="AV33" i="3"/>
  <c r="AQ33" i="3"/>
  <c r="AL33" i="3"/>
  <c r="AJ33" i="3"/>
  <c r="AB33" i="3"/>
  <c r="R33" i="3"/>
  <c r="AL37" i="3"/>
  <c r="BK26" i="3"/>
  <c r="BF26" i="3"/>
  <c r="BA26" i="3"/>
  <c r="AV26" i="3"/>
  <c r="AQ26" i="3"/>
  <c r="AL26" i="3"/>
  <c r="AJ26" i="3"/>
  <c r="AB26" i="3"/>
  <c r="R26" i="3"/>
  <c r="BK17" i="3"/>
  <c r="BF17" i="3"/>
  <c r="BA17" i="3"/>
  <c r="AV17" i="3"/>
  <c r="AQ17" i="3"/>
  <c r="AL17" i="3"/>
  <c r="AJ17" i="3"/>
  <c r="AB17" i="3"/>
  <c r="R17" i="3"/>
  <c r="BK8" i="3"/>
  <c r="BF8" i="3"/>
  <c r="BA8" i="3"/>
  <c r="AV8" i="3"/>
  <c r="AQ8" i="3"/>
  <c r="AL8" i="3"/>
  <c r="AJ8" i="3"/>
  <c r="AB8" i="3"/>
  <c r="R8" i="3"/>
  <c r="BK42" i="3"/>
  <c r="BF42" i="3"/>
  <c r="BA42" i="3"/>
  <c r="AV42" i="3"/>
  <c r="AQ42" i="3"/>
  <c r="AL42" i="3"/>
  <c r="AJ42" i="3"/>
  <c r="AB42" i="3"/>
  <c r="R42" i="3"/>
  <c r="BK51" i="3"/>
  <c r="BF51" i="3"/>
  <c r="BA51" i="3"/>
  <c r="AV51" i="3"/>
  <c r="AQ51" i="3"/>
  <c r="AL51" i="3"/>
  <c r="AJ51" i="3"/>
  <c r="AB51" i="3"/>
  <c r="R51" i="3"/>
  <c r="BK36" i="3"/>
  <c r="BF36" i="3"/>
  <c r="BA36" i="3"/>
  <c r="AV36" i="3"/>
  <c r="AQ36" i="3"/>
  <c r="AJ36" i="3"/>
  <c r="AB36" i="3"/>
  <c r="R36" i="3"/>
  <c r="BK7" i="3"/>
  <c r="BF7" i="3"/>
  <c r="BA7" i="3"/>
  <c r="AV7" i="3"/>
  <c r="AQ7" i="3"/>
  <c r="AL7" i="3"/>
  <c r="AJ7" i="3"/>
  <c r="R7" i="3"/>
  <c r="BK29" i="3"/>
  <c r="BF29" i="3"/>
  <c r="BA29" i="3"/>
  <c r="AV29" i="3"/>
  <c r="AQ29" i="3"/>
  <c r="AL29" i="3"/>
  <c r="AJ29" i="3"/>
  <c r="AB29" i="3"/>
  <c r="R29" i="3"/>
  <c r="BK22" i="3"/>
  <c r="BF22" i="3"/>
  <c r="BA22" i="3"/>
  <c r="AV22" i="3"/>
  <c r="AQ22" i="3"/>
  <c r="AL22" i="3"/>
  <c r="AJ22" i="3"/>
  <c r="AB22" i="3"/>
  <c r="R22" i="3"/>
  <c r="BK21" i="3"/>
  <c r="BF21" i="3"/>
  <c r="BA21" i="3"/>
  <c r="AV21" i="3"/>
  <c r="AQ21" i="3"/>
  <c r="AL21" i="3"/>
  <c r="AJ21" i="3"/>
  <c r="AB21" i="3"/>
  <c r="R21" i="3"/>
  <c r="BK12" i="3"/>
  <c r="BF12" i="3"/>
  <c r="BA12" i="3"/>
  <c r="AV12" i="3"/>
  <c r="AQ12" i="3"/>
  <c r="AL12" i="3"/>
  <c r="AJ12" i="3"/>
  <c r="AB12" i="3"/>
  <c r="R12" i="3"/>
  <c r="BK41" i="3"/>
  <c r="BF41" i="3"/>
  <c r="BA41" i="3"/>
  <c r="AV41" i="3"/>
  <c r="AQ41" i="3"/>
  <c r="AL41" i="3"/>
  <c r="AJ41" i="3"/>
  <c r="AB41" i="3"/>
  <c r="R41" i="3"/>
  <c r="BK23" i="3"/>
  <c r="BF23" i="3"/>
  <c r="BA23" i="3"/>
  <c r="AV23" i="3"/>
  <c r="AQ23" i="3"/>
  <c r="AL23" i="3"/>
  <c r="AJ23" i="3"/>
  <c r="AB23" i="3"/>
  <c r="R23" i="3"/>
  <c r="BK13" i="3"/>
  <c r="BF13" i="3"/>
  <c r="BA13" i="3"/>
  <c r="AV13" i="3"/>
  <c r="AQ13" i="3"/>
  <c r="AL13" i="3"/>
  <c r="AJ13" i="3"/>
  <c r="AB13" i="3"/>
  <c r="R13" i="3"/>
  <c r="BK35" i="3"/>
  <c r="BF35" i="3"/>
  <c r="BA35" i="3"/>
  <c r="AV35" i="3"/>
  <c r="AQ35" i="3"/>
  <c r="AL35" i="3"/>
  <c r="AJ35" i="3"/>
  <c r="AB35" i="3"/>
  <c r="R35" i="3"/>
  <c r="BK34" i="3"/>
  <c r="BF34" i="3"/>
  <c r="BA34" i="3"/>
  <c r="AV34" i="3"/>
  <c r="AQ34" i="3"/>
  <c r="AL34" i="3"/>
  <c r="AJ34" i="3"/>
  <c r="AB34" i="3"/>
  <c r="R34" i="3"/>
  <c r="BK32" i="3"/>
  <c r="BF32" i="3"/>
  <c r="BA32" i="3"/>
  <c r="AV32" i="3"/>
  <c r="AQ32" i="3"/>
  <c r="AL32" i="3"/>
  <c r="AJ32" i="3"/>
  <c r="AB32" i="3"/>
  <c r="R32" i="3"/>
  <c r="BK25" i="3"/>
  <c r="BF25" i="3"/>
  <c r="BA25" i="3"/>
  <c r="AV25" i="3"/>
  <c r="AQ25" i="3"/>
  <c r="AL25" i="3"/>
  <c r="AJ25" i="3"/>
  <c r="AB25" i="3"/>
  <c r="R25" i="3"/>
  <c r="BK11" i="3"/>
  <c r="BF11" i="3"/>
  <c r="BA11" i="3"/>
  <c r="AV11" i="3"/>
  <c r="AQ11" i="3"/>
  <c r="AL11" i="3"/>
  <c r="AJ11" i="3"/>
  <c r="AB11" i="3"/>
  <c r="R11" i="3"/>
  <c r="BK6" i="3"/>
  <c r="BF6" i="3"/>
  <c r="BA6" i="3"/>
  <c r="AV6" i="3"/>
  <c r="AQ6" i="3"/>
  <c r="AL6" i="3"/>
  <c r="AJ6" i="3"/>
  <c r="AB6" i="3"/>
  <c r="R6" i="3"/>
  <c r="BK5" i="3"/>
  <c r="BF5" i="3"/>
  <c r="BA5" i="3"/>
  <c r="AV5" i="3"/>
  <c r="AQ5" i="3"/>
  <c r="AL5" i="3"/>
  <c r="AJ5" i="3"/>
  <c r="AB5" i="3"/>
  <c r="R5" i="3"/>
  <c r="BK3" i="3"/>
  <c r="BF3" i="3"/>
  <c r="BA3" i="3"/>
  <c r="AV3" i="3"/>
  <c r="AQ3" i="3"/>
  <c r="AL3" i="3"/>
  <c r="AJ3" i="3"/>
  <c r="AB3" i="3"/>
  <c r="R3" i="3"/>
  <c r="AJ44" i="2"/>
  <c r="AB44" i="2"/>
  <c r="R44" i="2"/>
  <c r="AJ43" i="2"/>
  <c r="AB43" i="2"/>
  <c r="R43" i="2"/>
  <c r="AJ42" i="2"/>
  <c r="AB42" i="2"/>
  <c r="R42" i="2"/>
  <c r="AJ41" i="2"/>
  <c r="AB41" i="2"/>
  <c r="R41" i="2"/>
  <c r="AJ40" i="2"/>
  <c r="AB40" i="2"/>
  <c r="R40" i="2"/>
  <c r="AJ39" i="2"/>
  <c r="AB39" i="2"/>
  <c r="R39" i="2"/>
  <c r="AJ38" i="2"/>
  <c r="AB38" i="2"/>
  <c r="R38" i="2"/>
  <c r="AJ37" i="2"/>
  <c r="AB37" i="2"/>
  <c r="R37" i="2"/>
  <c r="AJ36" i="2"/>
  <c r="AB36" i="2"/>
  <c r="R36" i="2"/>
  <c r="AJ35" i="2"/>
  <c r="AB35" i="2"/>
  <c r="R35" i="2"/>
  <c r="AJ34" i="2"/>
  <c r="AB34" i="2"/>
  <c r="R34" i="2"/>
  <c r="AJ33" i="2"/>
  <c r="AB33" i="2"/>
  <c r="R33" i="2"/>
  <c r="AJ32" i="2"/>
  <c r="AB32" i="2"/>
  <c r="R32" i="2"/>
  <c r="AJ31" i="2"/>
  <c r="AB31" i="2"/>
  <c r="R31" i="2"/>
  <c r="AJ30" i="2"/>
  <c r="AB30" i="2"/>
  <c r="R30" i="2"/>
  <c r="AJ29" i="2"/>
  <c r="AB29" i="2"/>
  <c r="R29" i="2"/>
  <c r="AJ28" i="2"/>
  <c r="AB28" i="2"/>
  <c r="R28" i="2"/>
  <c r="AJ27" i="2"/>
  <c r="AB27" i="2"/>
  <c r="R27" i="2"/>
  <c r="AJ26" i="2"/>
  <c r="AB26" i="2"/>
  <c r="R26" i="2"/>
  <c r="AJ25" i="2"/>
  <c r="AB25" i="2"/>
  <c r="R25" i="2"/>
  <c r="AJ24" i="2"/>
  <c r="AB24" i="2"/>
  <c r="R24" i="2"/>
  <c r="AJ23" i="2"/>
  <c r="AB23" i="2"/>
  <c r="R23" i="2"/>
  <c r="AJ22" i="2"/>
  <c r="AB22" i="2"/>
  <c r="R22" i="2"/>
  <c r="AJ21" i="2"/>
  <c r="AB21" i="2"/>
  <c r="R21" i="2"/>
  <c r="AJ15" i="2"/>
  <c r="AB15" i="2"/>
  <c r="R15" i="2"/>
  <c r="AJ14" i="2"/>
  <c r="AB14" i="2"/>
  <c r="R14" i="2"/>
  <c r="AJ13" i="2"/>
  <c r="AB13" i="2"/>
  <c r="R13" i="2"/>
  <c r="AJ12" i="2"/>
  <c r="AB12" i="2"/>
  <c r="R12" i="2"/>
  <c r="AJ11" i="2"/>
  <c r="AB11" i="2"/>
  <c r="R11" i="2"/>
  <c r="AJ10" i="2"/>
  <c r="AB10" i="2"/>
  <c r="R10" i="2"/>
  <c r="AJ9" i="2"/>
  <c r="AB9" i="2"/>
  <c r="R9" i="2"/>
  <c r="AJ8" i="2"/>
  <c r="AB8" i="2"/>
  <c r="R8" i="2"/>
  <c r="AJ7" i="2"/>
  <c r="AB7" i="2"/>
  <c r="R7" i="2"/>
  <c r="AJ6" i="2"/>
  <c r="AB6" i="2"/>
  <c r="R6" i="2"/>
  <c r="AJ5" i="2"/>
  <c r="AB5" i="2"/>
  <c r="R5" i="2"/>
  <c r="AJ4" i="2"/>
  <c r="AB4" i="2"/>
  <c r="R4" i="2"/>
  <c r="AB3" i="2"/>
  <c r="R3" i="2"/>
  <c r="BK40" i="1"/>
  <c r="BF40" i="1"/>
  <c r="BA40" i="1"/>
  <c r="AV40" i="1"/>
  <c r="AQ40" i="1"/>
  <c r="AL40" i="1"/>
  <c r="BK39" i="1"/>
  <c r="BF39" i="1"/>
  <c r="BA39" i="1"/>
  <c r="AV39" i="1"/>
  <c r="AQ39" i="1"/>
  <c r="AL39" i="1"/>
  <c r="AJ39" i="1"/>
  <c r="AB39" i="1"/>
  <c r="R39" i="1"/>
  <c r="BK38" i="1"/>
  <c r="BF38" i="1"/>
  <c r="BA38" i="1"/>
  <c r="AV38" i="1"/>
  <c r="AQ38" i="1"/>
  <c r="AL38" i="1"/>
  <c r="AJ38" i="1"/>
  <c r="BK37" i="1"/>
  <c r="BF37" i="1"/>
  <c r="BA37" i="1"/>
  <c r="AV37" i="1"/>
  <c r="AQ37" i="1"/>
  <c r="AL37" i="1"/>
  <c r="AJ37" i="1"/>
  <c r="AB37" i="1"/>
  <c r="R37" i="1"/>
  <c r="BK36" i="1"/>
  <c r="BF36" i="1"/>
  <c r="BA36" i="1"/>
  <c r="AV36" i="1"/>
  <c r="AQ36" i="1"/>
  <c r="AL36" i="1"/>
  <c r="AJ36" i="1"/>
  <c r="AB36" i="1"/>
  <c r="R36" i="1"/>
  <c r="BK35" i="1"/>
  <c r="BF35" i="1"/>
  <c r="BA35" i="1"/>
  <c r="AV35" i="1"/>
  <c r="AQ35" i="1"/>
  <c r="AL35" i="1"/>
  <c r="AJ35" i="1"/>
  <c r="AB35" i="1"/>
  <c r="R35" i="1"/>
  <c r="BK34" i="1"/>
  <c r="BF34" i="1"/>
  <c r="BA34" i="1"/>
  <c r="AV34" i="1"/>
  <c r="AQ34" i="1"/>
  <c r="AL34" i="1"/>
  <c r="BK33" i="1"/>
  <c r="BF33" i="1"/>
  <c r="BA33" i="1"/>
  <c r="AV33" i="1"/>
  <c r="AQ33" i="1"/>
  <c r="AL33" i="1"/>
  <c r="R33" i="1"/>
  <c r="BK32" i="1"/>
  <c r="BF32" i="1"/>
  <c r="BA32" i="1"/>
  <c r="AV32" i="1"/>
  <c r="AQ32" i="1"/>
  <c r="AL32" i="1"/>
  <c r="R32" i="1"/>
  <c r="BK31" i="1"/>
  <c r="BF31" i="1"/>
  <c r="BA31" i="1"/>
  <c r="AV31" i="1"/>
  <c r="AQ31" i="1"/>
  <c r="AL31" i="1"/>
  <c r="AJ31" i="1"/>
  <c r="R31" i="1"/>
  <c r="BK30" i="1"/>
  <c r="BF30" i="1"/>
  <c r="BA30" i="1"/>
  <c r="AV30" i="1"/>
  <c r="AQ30" i="1"/>
  <c r="AL30" i="1"/>
  <c r="BK29" i="1"/>
  <c r="BF29" i="1"/>
  <c r="BA29" i="1"/>
  <c r="AV29" i="1"/>
  <c r="AQ29" i="1"/>
  <c r="AL29" i="1"/>
  <c r="BK28" i="1"/>
  <c r="BF28" i="1"/>
  <c r="BA28" i="1"/>
  <c r="AV28" i="1"/>
  <c r="AQ28" i="1"/>
  <c r="AL28" i="1"/>
  <c r="BK27" i="1"/>
  <c r="BF27" i="1"/>
  <c r="BA27" i="1"/>
  <c r="AV27" i="1"/>
  <c r="AQ27" i="1"/>
  <c r="AL27" i="1"/>
  <c r="BK26" i="1"/>
  <c r="BF26" i="1"/>
  <c r="BA26" i="1"/>
  <c r="AV26" i="1"/>
  <c r="AQ26" i="1"/>
  <c r="AL26" i="1"/>
  <c r="BK25" i="1"/>
  <c r="BF25" i="1"/>
  <c r="BA25" i="1"/>
  <c r="AV25" i="1"/>
  <c r="AQ25" i="1"/>
  <c r="AL25" i="1"/>
  <c r="BK24" i="1"/>
  <c r="BF24" i="1"/>
  <c r="BA24" i="1"/>
  <c r="AV24" i="1"/>
  <c r="AQ24" i="1"/>
  <c r="AL24" i="1"/>
  <c r="BK23" i="1"/>
  <c r="BF23" i="1"/>
  <c r="BA23" i="1"/>
  <c r="AV23" i="1"/>
  <c r="AQ23" i="1"/>
  <c r="AL23" i="1"/>
  <c r="BK22" i="1"/>
  <c r="BF22" i="1"/>
  <c r="BA22" i="1"/>
  <c r="AV22" i="1"/>
  <c r="AQ22" i="1"/>
  <c r="AL22" i="1"/>
  <c r="BK21" i="1"/>
  <c r="BF21" i="1"/>
  <c r="BA21" i="1"/>
  <c r="AV21" i="1"/>
  <c r="AQ21" i="1"/>
  <c r="AL21" i="1"/>
  <c r="BK20" i="1"/>
  <c r="BF20" i="1"/>
  <c r="BA20" i="1"/>
  <c r="AV20" i="1"/>
  <c r="AQ20" i="1"/>
  <c r="AL20" i="1"/>
  <c r="BK19" i="1"/>
  <c r="BF19" i="1"/>
  <c r="BA19" i="1"/>
  <c r="AV19" i="1"/>
  <c r="AQ19" i="1"/>
  <c r="AL19" i="1"/>
  <c r="BK18" i="1"/>
  <c r="BF18" i="1"/>
  <c r="BA18" i="1"/>
  <c r="AV18" i="1"/>
  <c r="AQ18" i="1"/>
  <c r="AL18" i="1"/>
  <c r="AJ18" i="1"/>
  <c r="BK17" i="1"/>
  <c r="BF17" i="1"/>
  <c r="BA17" i="1"/>
  <c r="AV17" i="1"/>
  <c r="AQ17" i="1"/>
  <c r="AL17" i="1"/>
  <c r="BK16" i="1"/>
  <c r="BF16" i="1"/>
  <c r="BA16" i="1"/>
  <c r="AV16" i="1"/>
  <c r="AQ16" i="1"/>
  <c r="AL16" i="1"/>
  <c r="BK15" i="1"/>
  <c r="BF15" i="1"/>
  <c r="BA15" i="1"/>
  <c r="AV15" i="1"/>
  <c r="AQ15" i="1"/>
  <c r="AL15" i="1"/>
  <c r="BK14" i="1"/>
  <c r="BF14" i="1"/>
  <c r="BA14" i="1"/>
  <c r="AV14" i="1"/>
  <c r="AQ14" i="1"/>
  <c r="AL14" i="1"/>
  <c r="BK13" i="1"/>
  <c r="BF13" i="1"/>
  <c r="BA13" i="1"/>
  <c r="AV13" i="1"/>
  <c r="AQ13" i="1"/>
  <c r="AL13" i="1"/>
  <c r="BK12" i="1"/>
  <c r="BF12" i="1"/>
  <c r="BA12" i="1"/>
  <c r="AV12" i="1"/>
  <c r="AQ12" i="1"/>
  <c r="AL12" i="1"/>
  <c r="BK11" i="1"/>
  <c r="BF11" i="1"/>
  <c r="BA11" i="1"/>
  <c r="AV11" i="1"/>
  <c r="AQ11" i="1"/>
  <c r="AL11" i="1"/>
  <c r="BK10" i="1"/>
  <c r="BF10" i="1"/>
  <c r="BA10" i="1"/>
  <c r="AV10" i="1"/>
  <c r="AQ10" i="1"/>
  <c r="AL10" i="1"/>
  <c r="BK9" i="1"/>
  <c r="BF9" i="1"/>
  <c r="BA9" i="1"/>
  <c r="AV9" i="1"/>
  <c r="AQ9" i="1"/>
  <c r="AL9" i="1"/>
  <c r="BK8" i="1"/>
  <c r="BF8" i="1"/>
  <c r="BA8" i="1"/>
  <c r="AV8" i="1"/>
  <c r="AQ8" i="1"/>
  <c r="AL8" i="1"/>
  <c r="BK7" i="1"/>
  <c r="BF7" i="1"/>
  <c r="BA7" i="1"/>
  <c r="AV7" i="1"/>
  <c r="AQ7" i="1"/>
  <c r="AL7" i="1"/>
  <c r="BK6" i="1"/>
  <c r="BF6" i="1"/>
  <c r="BA6" i="1"/>
  <c r="AV6" i="1"/>
  <c r="AQ6" i="1"/>
  <c r="AL6" i="1"/>
  <c r="BK5" i="1"/>
  <c r="BF5" i="1"/>
  <c r="BA5" i="1"/>
  <c r="AV5" i="1"/>
  <c r="AQ5" i="1"/>
  <c r="AL5" i="1"/>
  <c r="BK4" i="1"/>
  <c r="BF4" i="1"/>
  <c r="BA4" i="1"/>
  <c r="AV4" i="1"/>
  <c r="AQ4" i="1"/>
  <c r="AL4" i="1"/>
  <c r="BK3" i="1"/>
  <c r="BF3" i="1"/>
  <c r="BA3" i="1"/>
  <c r="AV3" i="1"/>
  <c r="AQ3" i="1"/>
  <c r="AL3" i="1"/>
  <c r="AL8" i="6"/>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35B4142-A5C8-497D-B8B9-6E45D9A6A889}" keepAlive="1" name="Query - Sheet 1-Table 1 (10)" description="Connection to the 'Sheet 1-Table 1 (10)' query in the workbook." type="5" refreshedVersion="6" background="1" saveData="1">
    <dbPr connection="Provider=Microsoft.Mashup.OleDb.1;Data Source=$Workbook$;Location=&quot;Sheet 1-Table 1 (10)&quot;;Extended Properties=&quot;&quot;" command="SELECT * FROM [Sheet 1-Table 1 (10)]"/>
  </connection>
  <connection id="2" xr16:uid="{273EFB7F-A5F3-441F-BED2-5CA1EDA03F26}" keepAlive="1" name="Query - Sheet 1-Table 1 (13)" description="Connection to the 'Sheet 1-Table 1 (13)' query in the workbook." type="5" refreshedVersion="6" background="1" saveData="1">
    <dbPr connection="Provider=Microsoft.Mashup.OleDb.1;Data Source=$Workbook$;Location=&quot;Sheet 1-Table 1 (13)&quot;;Extended Properties=&quot;&quot;" command="SELECT * FROM [Sheet 1-Table 1 (13)]"/>
  </connection>
  <connection id="3" xr16:uid="{A92A2CDD-8B29-420D-A1D8-322B51BD1DBA}" keepAlive="1" name="Query - Sheet 1-Table 1 (14)" description="Connection to the 'Sheet 1-Table 1 (14)' query in the workbook." type="5" refreshedVersion="6" background="1" saveData="1">
    <dbPr connection="Provider=Microsoft.Mashup.OleDb.1;Data Source=$Workbook$;Location=&quot;Sheet 1-Table 1 (14)&quot;;Extended Properties=&quot;&quot;" command="SELECT * FROM [Sheet 1-Table 1 (14)]"/>
  </connection>
  <connection id="4" xr16:uid="{9E36E4D0-0AB3-47FD-8C6A-3AEB9E0BE2F4}" keepAlive="1" name="Query - Sheet 1-Table 1 (15)" description="Connection to the 'Sheet 1-Table 1 (15)' query in the workbook." type="5" refreshedVersion="6" background="1" saveData="1">
    <dbPr connection="Provider=Microsoft.Mashup.OleDb.1;Data Source=$Workbook$;Location=&quot;Sheet 1-Table 1 (15)&quot;;Extended Properties=&quot;&quot;" command="SELECT * FROM [Sheet 1-Table 1 (15)]"/>
  </connection>
  <connection id="5" xr16:uid="{8055B0EE-278A-4757-8EE2-A88F35202B47}" keepAlive="1" name="Query - Sheet 1-Table 1 (16)" description="Connection to the 'Sheet 1-Table 1 (16)' query in the workbook." type="5" refreshedVersion="6" background="1" saveData="1">
    <dbPr connection="Provider=Microsoft.Mashup.OleDb.1;Data Source=$Workbook$;Location=&quot;Sheet 1-Table 1 (16)&quot;;Extended Properties=&quot;&quot;" command="SELECT * FROM [Sheet 1-Table 1 (16)]"/>
  </connection>
  <connection id="6" xr16:uid="{4C6B1064-5351-4590-BA00-2C509B126C86}" keepAlive="1" name="Query - Sheet 1-Table 1 (17)" description="Connection to the 'Sheet 1-Table 1 (17)' query in the workbook." type="5" refreshedVersion="6" background="1" saveData="1">
    <dbPr connection="Provider=Microsoft.Mashup.OleDb.1;Data Source=$Workbook$;Location=&quot;Sheet 1-Table 1 (17)&quot;;Extended Properties=&quot;&quot;" command="SELECT * FROM [Sheet 1-Table 1 (17)]"/>
  </connection>
  <connection id="7" xr16:uid="{F3012B79-FF24-4332-A1D8-862AA36ED2C3}" keepAlive="1" name="Query - Sheet 1-Table 1 (18)" description="Connection to the 'Sheet 1-Table 1 (18)' query in the workbook." type="5" refreshedVersion="6" background="1" saveData="1">
    <dbPr connection="Provider=Microsoft.Mashup.OleDb.1;Data Source=$Workbook$;Location=&quot;Sheet 1-Table 1 (18)&quot;;Extended Properties=&quot;&quot;" command="SELECT * FROM [Sheet 1-Table 1 (18)]"/>
  </connection>
</connections>
</file>

<file path=xl/sharedStrings.xml><?xml version="1.0" encoding="utf-8"?>
<sst xmlns="http://schemas.openxmlformats.org/spreadsheetml/2006/main" count="21390" uniqueCount="2242">
  <si>
    <t>Column B to E:
For OSA / ILP Team Only</t>
  </si>
  <si>
    <t>Column H to I:
 For OSA - ILP Team / OSA - ILP Domain Coordinators ONLY.</t>
  </si>
  <si>
    <r>
      <t xml:space="preserve">Column K to L:
If the "Activity Title" contains a year (e.g. Squash Competition </t>
    </r>
    <r>
      <rPr>
        <b/>
        <u/>
        <sz val="12"/>
        <color rgb="FFFF0000"/>
        <rFont val="Calibri"/>
        <family val="2"/>
        <scheme val="minor"/>
      </rPr>
      <t>2026</t>
    </r>
    <r>
      <rPr>
        <b/>
        <sz val="12"/>
        <color rgb="FFFF0000"/>
        <rFont val="Calibri"/>
        <family val="2"/>
        <scheme val="minor"/>
      </rPr>
      <t>) or a class number (e.g. Group III), put it under "Session Title" (column L).</t>
    </r>
  </si>
  <si>
    <r>
      <t xml:space="preserve">Column O to P:
1) ILP Online Registration (via Banner System) will be scheduled for 14 - 17 Sep 2026. Events </t>
    </r>
    <r>
      <rPr>
        <b/>
        <i/>
        <u/>
        <sz val="12"/>
        <color rgb="FFFF0000"/>
        <rFont val="Calibri"/>
        <family val="2"/>
        <scheme val="minor"/>
      </rPr>
      <t>on or before 14 Sep 2026</t>
    </r>
    <r>
      <rPr>
        <b/>
        <sz val="12"/>
        <color rgb="FFFF0000"/>
        <rFont val="Calibri"/>
        <family val="2"/>
        <scheme val="minor"/>
      </rPr>
      <t xml:space="preserve"> will NOT be included in the ILP Online Registration period.
2) An auto-reminder will be sent to enrolled students 3 days before the event.</t>
    </r>
  </si>
  <si>
    <t>Column Q to R:
Select ONE learning domain in column Q, its short form will appear in column R.</t>
  </si>
  <si>
    <r>
      <t xml:space="preserve">Column S to AB:
1) Select </t>
    </r>
    <r>
      <rPr>
        <b/>
        <i/>
        <u/>
        <sz val="12"/>
        <color rgb="FFFF0000"/>
        <rFont val="Calibri"/>
        <family val="2"/>
        <scheme val="minor"/>
      </rPr>
      <t>from 1 to 3</t>
    </r>
    <r>
      <rPr>
        <b/>
        <sz val="12"/>
        <color rgb="FFFF0000"/>
        <rFont val="Calibri"/>
        <family val="2"/>
        <scheme val="minor"/>
      </rPr>
      <t xml:space="preserve"> learning attributes. 
2) Assign a percentage (0, 10, 20, 30...100) to each selected attribute.
3) The total should equal 100 (column AB).</t>
    </r>
  </si>
  <si>
    <r>
      <t xml:space="preserve">Column AH to AJ:
1) 1 contact hour = 1 ILP unit
2) Maximum quota for each activity type: 
- Seminar/Talk: </t>
    </r>
    <r>
      <rPr>
        <b/>
        <u/>
        <sz val="12"/>
        <color rgb="FFFF0000"/>
        <rFont val="Calibri"/>
        <family val="2"/>
        <scheme val="minor"/>
      </rPr>
      <t>Limit to Venue Capacity</t>
    </r>
    <r>
      <rPr>
        <b/>
        <sz val="12"/>
        <color rgb="FFFF0000"/>
        <rFont val="Calibri"/>
        <family val="2"/>
        <scheme val="minor"/>
      </rPr>
      <t xml:space="preserve">
- Workshop/Activity/Visit: </t>
    </r>
    <r>
      <rPr>
        <b/>
        <u/>
        <sz val="12"/>
        <color rgb="FFFF0000"/>
        <rFont val="Calibri"/>
        <family val="2"/>
        <scheme val="minor"/>
      </rPr>
      <t>40</t>
    </r>
  </si>
  <si>
    <t>Column AK:
Indicate the date using DD-MMM-YYYY format, e.g. 27-Sep-2026</t>
  </si>
  <si>
    <r>
      <t xml:space="preserve">Column AP to BN:
1) Fill in column AP to BN </t>
    </r>
    <r>
      <rPr>
        <b/>
        <u/>
        <sz val="12"/>
        <color rgb="FFFF0000"/>
        <rFont val="Calibri"/>
        <family val="2"/>
        <scheme val="minor"/>
      </rPr>
      <t>ONLY IF</t>
    </r>
    <r>
      <rPr>
        <b/>
        <sz val="12"/>
        <color rgb="FFFF0000"/>
        <rFont val="Calibri"/>
        <family val="2"/>
        <scheme val="minor"/>
      </rPr>
      <t xml:space="preserve"> it's a course with </t>
    </r>
    <r>
      <rPr>
        <b/>
        <u/>
        <sz val="12"/>
        <color rgb="FFFF0000"/>
        <rFont val="Calibri"/>
        <family val="2"/>
        <scheme val="minor"/>
      </rPr>
      <t>consecutive</t>
    </r>
    <r>
      <rPr>
        <b/>
        <sz val="12"/>
        <color rgb="FFFF0000"/>
        <rFont val="Calibri"/>
        <family val="2"/>
        <scheme val="minor"/>
      </rPr>
      <t xml:space="preserve"> lessons. For example, a Chinese Calligraphy class is held every Monday at 3:00 pm starting from 19 Oct, 26 Oct,2 Nov &amp; 9 Nov 2026, for 4 weeks.
2) Leave it blank for independent </t>
    </r>
    <r>
      <rPr>
        <b/>
        <u/>
        <sz val="12"/>
        <color rgb="FFFF0000"/>
        <rFont val="Calibri"/>
        <family val="2"/>
        <scheme val="minor"/>
      </rPr>
      <t>SINGLE-DAY</t>
    </r>
    <r>
      <rPr>
        <b/>
        <sz val="12"/>
        <color rgb="FFFF0000"/>
        <rFont val="Calibri"/>
        <family val="2"/>
        <scheme val="minor"/>
      </rPr>
      <t xml:space="preserve"> events. For example, a one-off seminar is scheduled for 2:30 pm on 19 Oct 2026.</t>
    </r>
  </si>
  <si>
    <t>Column BP:
If the name of the instructor/speaker is not available, use "Representative of [Organisation Name]" as the first name.</t>
  </si>
  <si>
    <t>Column BQ:
Use CAPITAL letters for surnames.</t>
  </si>
  <si>
    <t>Column BW to CA: 
The information below will be displayed to students.</t>
  </si>
  <si>
    <r>
      <t xml:space="preserve">
Column CE to CF:
Information of </t>
    </r>
    <r>
      <rPr>
        <b/>
        <i/>
        <u/>
        <sz val="12"/>
        <color rgb="FFFF0000"/>
        <rFont val="Calibri"/>
        <family val="2"/>
        <scheme val="minor"/>
      </rPr>
      <t>Programme In-charge 1</t>
    </r>
    <r>
      <rPr>
        <b/>
        <sz val="12"/>
        <color rgb="FFFF0000"/>
        <rFont val="Calibri"/>
        <family val="2"/>
        <scheme val="minor"/>
      </rPr>
      <t xml:space="preserve"> will be displayed to students and they will receive notification emails about the events.</t>
    </r>
  </si>
  <si>
    <r>
      <t xml:space="preserve">Column CJ to CZ:
Select </t>
    </r>
    <r>
      <rPr>
        <b/>
        <i/>
        <u/>
        <sz val="12"/>
        <color rgb="FFFF0000"/>
        <rFont val="Calibri"/>
        <family val="2"/>
        <scheme val="minor"/>
      </rPr>
      <t>up to THREE</t>
    </r>
    <r>
      <rPr>
        <b/>
        <sz val="12"/>
        <color rgb="FFFF0000"/>
        <rFont val="Calibri"/>
        <family val="2"/>
        <scheme val="minor"/>
      </rPr>
      <t xml:space="preserve"> United Nations' Sustainable Development Goals (SDGs), if applicable.</t>
    </r>
  </si>
  <si>
    <t>Column DI to DJ:
 For OSA ONLY.</t>
  </si>
  <si>
    <t>No.</t>
  </si>
  <si>
    <t>Term</t>
  </si>
  <si>
    <t>Course Code</t>
  </si>
  <si>
    <t>Part of Terms</t>
  </si>
  <si>
    <t>CRN</t>
  </si>
  <si>
    <t>Department / Unit</t>
  </si>
  <si>
    <t>Team</t>
  </si>
  <si>
    <t>Series Name (Chi)</t>
  </si>
  <si>
    <t>Series Name (Eng)</t>
  </si>
  <si>
    <t>Activity Title (Chi)</t>
  </si>
  <si>
    <t>Activity Title (Eng)</t>
  </si>
  <si>
    <t>Session Title</t>
  </si>
  <si>
    <t>Objectives / Expected Learning Outcomes (Eng)</t>
  </si>
  <si>
    <t>Description (Eng)</t>
  </si>
  <si>
    <t>Include in Online Registration? 
(Y/N)</t>
  </si>
  <si>
    <t>Send Auto-reminder? 
(Y/N)</t>
  </si>
  <si>
    <t>Learning Domain</t>
  </si>
  <si>
    <t>Learning Domain (Short)</t>
  </si>
  <si>
    <t>Leadership LS</t>
  </si>
  <si>
    <t>Entrepreneurship ENT</t>
  </si>
  <si>
    <t>Well-being (Physical) WBP</t>
  </si>
  <si>
    <t>Well-being (Mental) WBM</t>
  </si>
  <si>
    <t>Language Enhancement LE</t>
  </si>
  <si>
    <t>Cross-Cultural Appreciation
&amp; Integration CCAI</t>
  </si>
  <si>
    <t>Sustainability SUS</t>
  </si>
  <si>
    <t>Digital Literacy DL</t>
  </si>
  <si>
    <t>Career Development  CR</t>
  </si>
  <si>
    <t>Total</t>
  </si>
  <si>
    <t>Programme Type</t>
  </si>
  <si>
    <t>Delivery Mode</t>
  </si>
  <si>
    <t>Medium
of Instruction
(ENG)</t>
  </si>
  <si>
    <t>Medium
of Instruction
(Cantonese)</t>
  </si>
  <si>
    <t>Medium
of Instruction
(PTH)</t>
  </si>
  <si>
    <t>ILP Units Per Session</t>
  </si>
  <si>
    <t>Quota</t>
  </si>
  <si>
    <t>Total Units to be Offered</t>
  </si>
  <si>
    <t>Lesson 1 
Date 
(DD-MMM-YYYY)</t>
  </si>
  <si>
    <t>Lesson 1 (DOW)</t>
  </si>
  <si>
    <t>Lesson 1 
Start Time
(HH:MM)</t>
  </si>
  <si>
    <t>Lesson 1
End Time
(HH:MM)</t>
  </si>
  <si>
    <t>Lesson 1 
Venue</t>
  </si>
  <si>
    <t>Lesson 2
Date 
(DD-MMM-YYYY)</t>
  </si>
  <si>
    <t>Lesson 2 (DOW)</t>
  </si>
  <si>
    <t>Lesson 2
Start Time
(HH:MM)</t>
  </si>
  <si>
    <t>Lesson 2
End Time
(HH:MM)</t>
  </si>
  <si>
    <t>Lesson 2
 Venue</t>
  </si>
  <si>
    <t>Lesson 3
Date 
(DD-MMM-YYYY)</t>
  </si>
  <si>
    <t>Lesson 3 (DOW)</t>
  </si>
  <si>
    <t>Lesson 3
Start Time
(HH:MM)</t>
  </si>
  <si>
    <t>Lesson 3
End Time
(HH:MM)</t>
  </si>
  <si>
    <t>Lesson 3
 Venue</t>
  </si>
  <si>
    <t>Lesson 4
Date 
(DD-MMM-YYYY)</t>
  </si>
  <si>
    <t>Lesson 4 (DOW)</t>
  </si>
  <si>
    <t>Lesson 4
Start Time
(HH:MM)</t>
  </si>
  <si>
    <t>Lesson 4
End Time
(HH:MM)</t>
  </si>
  <si>
    <t>Lesson 4
 Venue</t>
  </si>
  <si>
    <t>Lesson 5
Date 
(DD-MMM-YYYY)</t>
  </si>
  <si>
    <t>Lesson 5 (DOW)</t>
  </si>
  <si>
    <t>Lesson 5
Start Time
(HH:MM)</t>
  </si>
  <si>
    <t>Lesson 5
End Time
(HH:MM)</t>
  </si>
  <si>
    <t>Lesson 5
 Venue</t>
  </si>
  <si>
    <t>Lesson 6
Date 
(DD-MMM-YYYY)</t>
  </si>
  <si>
    <t>Lesson 6 (DOW)</t>
  </si>
  <si>
    <t>Lesson 6
Start Time
(HH:MM)</t>
  </si>
  <si>
    <t>Lesson 6
End Time
(HH:MM)</t>
  </si>
  <si>
    <t>Lesson 6
 Venue</t>
  </si>
  <si>
    <t>Instructor / Speaker (1)
Title</t>
  </si>
  <si>
    <t>Instructor / Speaker (1)
First Name</t>
  </si>
  <si>
    <t>Instructor / Speaker (1)
Last Name 
(in CAPITAL letter)</t>
  </si>
  <si>
    <t>Instructor / Speaker (1)
Job Title</t>
  </si>
  <si>
    <t>Instructor / Speaker (2)
Title</t>
  </si>
  <si>
    <t>Instructor / Speaker (2)
First Name</t>
  </si>
  <si>
    <t>Instructor / Speaker (2)
Last Name 
(in CAPITAL letter)</t>
  </si>
  <si>
    <t>Instructor / Speaker (2)
Job Title</t>
  </si>
  <si>
    <t>Fees</t>
  </si>
  <si>
    <t>Deposits</t>
  </si>
  <si>
    <t>Assembly Time 
(for Off-campus Visit)</t>
  </si>
  <si>
    <t>Assembly Location
(for Off-campus Visit)</t>
  </si>
  <si>
    <t>Remarks to Students (if applicable)</t>
  </si>
  <si>
    <t>Zoom URL
(if any)</t>
  </si>
  <si>
    <t>Meeting ID
(if any)</t>
  </si>
  <si>
    <t>Meeting Passcode
(if any)</t>
  </si>
  <si>
    <t>Programme In-charge 1
Name</t>
  </si>
  <si>
    <t>Programme In-charge 1
Email</t>
  </si>
  <si>
    <t>Programme In-charge 2
Name</t>
  </si>
  <si>
    <t>Programme In-charge 2
Email</t>
  </si>
  <si>
    <t>Sustainable Development Goals (Y/N)</t>
  </si>
  <si>
    <t>SDG1 
No Poverty</t>
  </si>
  <si>
    <t>SDG2
Zero Hunger</t>
  </si>
  <si>
    <t>SDG3
Good Health and well-being</t>
  </si>
  <si>
    <t>SDG4
Quality Education</t>
  </si>
  <si>
    <t>SDG5
 Gender Equality</t>
  </si>
  <si>
    <t>SDG6
 Clean Water &amp; Sanitation</t>
  </si>
  <si>
    <t>SDG7 Affordable &amp; Clean Energy</t>
  </si>
  <si>
    <t>SDG8 
Decent Work &amp; Economic Growth</t>
  </si>
  <si>
    <t>SDG9
Industry, Innovation &amp; Infrastructure</t>
  </si>
  <si>
    <t>SDG10
 Reduced inequalities</t>
  </si>
  <si>
    <t>SDG11 Sustainable Cities &amp; Communities</t>
  </si>
  <si>
    <t>SDG12 Responsible Consumption &amp; Production</t>
  </si>
  <si>
    <t>SDG13
 Climate Action</t>
  </si>
  <si>
    <t>SDG14
Life Below Water</t>
  </si>
  <si>
    <t>SDG15 
Life on Land</t>
  </si>
  <si>
    <t>SDG16 Peace, Justice &amp; Strong Institutions</t>
  </si>
  <si>
    <t>SDG17 Partnerships for the Goals</t>
  </si>
  <si>
    <t>Country/Place</t>
  </si>
  <si>
    <t>Credit Type</t>
  </si>
  <si>
    <t>Data Type</t>
  </si>
  <si>
    <t>UAA</t>
  </si>
  <si>
    <t>Programme Category</t>
  </si>
  <si>
    <t>Whole Person Development Cocurriculum</t>
  </si>
  <si>
    <t>Moral Education</t>
  </si>
  <si>
    <t>Social Responsible Citizenship</t>
  </si>
  <si>
    <r>
      <t>Lingnan Language Enhancement Initiative (L</t>
    </r>
    <r>
      <rPr>
        <b/>
        <vertAlign val="superscript"/>
        <sz val="10"/>
        <color theme="1"/>
        <rFont val="Calibri"/>
        <family val="2"/>
        <scheme val="minor"/>
      </rPr>
      <t>2</t>
    </r>
    <r>
      <rPr>
        <b/>
        <sz val="10"/>
        <color theme="1"/>
        <rFont val="Calibri"/>
        <family val="2"/>
        <scheme val="minor"/>
      </rPr>
      <t>EI)
(Y/N)</t>
    </r>
  </si>
  <si>
    <t>Leadership Enhancement Programme (LEP)
(Y/N)</t>
  </si>
  <si>
    <t>TALENT - The Lingnan iPortfolio</t>
  </si>
  <si>
    <t>Has Registration</t>
  </si>
  <si>
    <t>OSA Portal Registration</t>
  </si>
  <si>
    <t>ICMC088</t>
  </si>
  <si>
    <t>ISE</t>
  </si>
  <si>
    <t>OSA</t>
  </si>
  <si>
    <t>Community Services</t>
  </si>
  <si>
    <t>大學生活探索週</t>
  </si>
  <si>
    <t>Exploration Week 2026</t>
  </si>
  <si>
    <t>青年支援服務及Project X 計劃簡介會</t>
  </si>
  <si>
    <t xml:space="preserve">Introductory Session of Youth Support Scheme and "Project X" </t>
  </si>
  <si>
    <t>At the end of the activity, students will be able to:
1. Understand Youth Support Scheme in Tuen Mun District;
2. Explore different ways to serve and support Youth as Lingnanian; and
3. Know what to do and how to support as a volunteer.</t>
  </si>
  <si>
    <t>The Hong Kong Federation of Youth Groups - Youth Support Scheme creates a platform to interact with youth around Hong Kong whie aims to help young people develop positive thinking, and correct values, and enhance personal social interaction, establish a positive and healthy life.</t>
  </si>
  <si>
    <t>N</t>
  </si>
  <si>
    <t>Civic Education and Leadership Development</t>
  </si>
  <si>
    <t>Seminar/Talk</t>
  </si>
  <si>
    <t>Face to Face</t>
  </si>
  <si>
    <t>Y</t>
  </si>
  <si>
    <t>LYH31920</t>
  </si>
  <si>
    <t>Representatives from Youth Crime Prevention Centre,
The Hong Kong Federation of Youth Groups</t>
  </si>
  <si>
    <t> </t>
  </si>
  <si>
    <t>Mr. Andy TSUI</t>
  </si>
  <si>
    <t>ontikandytsui@ln.edu.hk</t>
  </si>
  <si>
    <t>Ms. Carrie LI</t>
  </si>
  <si>
    <t>carrieli@ln.edu.hk</t>
  </si>
  <si>
    <t>Hong Kong SAR</t>
  </si>
  <si>
    <t>Non-credit bearing</t>
  </si>
  <si>
    <t>UGC</t>
  </si>
  <si>
    <t>Integrated Learning Programme</t>
  </si>
  <si>
    <t>ICMC002</t>
  </si>
  <si>
    <t>Lingnan C. Connects – 服務社會 ‧ 成就視野</t>
  </si>
  <si>
    <t>Lingnan C. Connects - “Care for Community - See the Connections”</t>
  </si>
  <si>
    <t>At the end of the activity, students will be able to:
1. Understand the background, details and operation of the Lingnan C.Connects Programme;
2. Recognise the rewarding experience of community services through sharing of Lingnan C.Connects crew members; and 
3. Elevate the interest and commitment towards volunteerism.</t>
  </si>
  <si>
    <t>With the University’s motto "Education for Service", community service is always an integral part of campus life.  The University always tries every means to provide students opportunities to care for the welfare of the community. Come to know more how we join hands with our students, staff, and alumni to connect their community service experiences, together with their own potential and lifelong goal to serve the society as a whole.</t>
  </si>
  <si>
    <t>Ms.</t>
  </si>
  <si>
    <t>Carrie</t>
  </si>
  <si>
    <t>LI</t>
  </si>
  <si>
    <t>Assistant Student Affairs Manager II, Office of Student Affairs</t>
  </si>
  <si>
    <t>ICMC028</t>
  </si>
  <si>
    <t>陳校長免費補習天地  — 嶺大義師計劃簡介會</t>
  </si>
  <si>
    <t>Introductory Session of the “Principal Chan Free Tutorial World - LU Volunteer Teachers Scheme”</t>
  </si>
  <si>
    <t xml:space="preserve">At the end of the programme, students will be able to:
1. Recognise the background of Principal Chan Free Tutorial World as well as the services that they are offering;
2. Understand the background, details and operation of the Principal Chan Free Tutorial World – LU Volunteer Teachers Scheme; and
3. Elevate the interest and commitment towards volunteerism.
</t>
  </si>
  <si>
    <t xml:space="preserve">In today’s education system of Hong Kong, those poor and under-privileged children are easily been neglected, deprived and abandoned, and they have no one to turn to. With the support of many generous people in the society who act as volunteer teachers, the Principal Chan Free Tutorial World, which is an NGO recognised by the HKSAR Government, provides absolutely free and one-to-one tutorials to the under-privileged children who have financial difficulties. What the organisation aims to do is to give a fair chance of learning to those who aspire to learn.
This Briefing and Training Session of the LU Volunteer Teachers Scheme is designed to facilitate interested parties in knowing more about the background of Principal Chan Free Tutorial World, as well as background and details of the LU Volunteer Teachers Scheme.  This session is especially suitable to students who have an initial interest in the LU Volunteer Teachers Scheme and wish to have a glimpse of the Scheme before joining.
</t>
  </si>
  <si>
    <t>Representatives from the Principal Chan Free Tutorial World</t>
  </si>
  <si>
    <t>ICMC276</t>
  </si>
  <si>
    <t>IOC</t>
  </si>
  <si>
    <t>社會服務系列</t>
  </si>
  <si>
    <t>Lingnan C.Connects - Community Services Series</t>
  </si>
  <si>
    <t>奧比斯香港 — 未來領袖計劃簡介會</t>
  </si>
  <si>
    <t>An Introduction of Orbis Hong Kong cum Briefing Session for Orbis Future Vision Leader Program 2026/27</t>
  </si>
  <si>
    <t xml:space="preserve">At the end of the programme, students will be able to:
1. Recognise the background of Orbis Hong Kong as well as the services that they are offering;
2. Understand the background, details and operation of the Orbis Future Vision Leader Program; and
3. Elevate the interest and commitment towards volunteerism.
</t>
  </si>
  <si>
    <t>Orbis believes everyone deserves functioning eyesight regardless of their age, income or ethnic background.  To increase awareness on eye health, Orbis is now recruiting Future Vision Leader of Orbis Hong Kong, to help assimilate eyecare awareness at every level of local society.  Future Vision Leader can participate in many volunteer experiences of Orbis and will add a sense of accomplishment to one’s positive energy!  Future Vision Leader of Orbis Hong Kong may have the chance to help out with office clerical work, or using one’s creativity to influence others on the internet, or deliver eyecare talk to the community, etc. 
This Briefing Session of the Orbis Future Vision Leader Program is designed to facilitate interested parties in knowing more about the background of Orbis, as well as background and details of the Future Vision Leader of Orbis Hong Kong.  This session is especially suitable to students who have an initial interest in the Future Vision Leader of Orbis Hong Kong and wish to have an glimpse of the Programme before joining.</t>
  </si>
  <si>
    <t>Online</t>
  </si>
  <si>
    <t>Zoom</t>
  </si>
  <si>
    <t>Representatves from Orbis Hong Kong</t>
  </si>
  <si>
    <t/>
  </si>
  <si>
    <t>ICMC004</t>
  </si>
  <si>
    <t>香港航空青年團 — 長官學員訓練講座</t>
  </si>
  <si>
    <t>Develop Your Leadership in the Hong Kong Air Cadet Corps - Officer Trainee Training Programme</t>
  </si>
  <si>
    <t>At the end of the activity, students will be able to:
1. Describe the mission of the Hong Kong Air Cadet Corps;
2. Understand how the Officer Trainee Training Programme is effective in uplifting one's leadership capability; and
3. Facilitate the sense of serving the community.</t>
  </si>
  <si>
    <t>Through participation in the Hong Kong Air Cadet Corps – Officer Trainee Training Programme, students will not only be able to enrich their knowledge on aviation, but also be able to grasp the chance in polishing their leadership skills and teamwork spirit. The speaker will also share how the Officer Trainee Training Programme can help polish one’s leadership capability.</t>
  </si>
  <si>
    <t>Face-to-face</t>
  </si>
  <si>
    <t>LKK107</t>
  </si>
  <si>
    <t>Representatives from Hong Kong Air Cadet Corps</t>
  </si>
  <si>
    <t>ICMC680</t>
  </si>
  <si>
    <t>I24</t>
  </si>
  <si>
    <t>Lingnan C. Connects –聽障人士義工訓練及社會服務</t>
  </si>
  <si>
    <t>C. Connects——Volunteer Training and Social Service for People with Hearing Impairment</t>
  </si>
  <si>
    <t xml:space="preserve">At the end of the activity, students will be able to:
1. Grasp the fundamental concepts and effective methods for providing services to the underpriviledged; and
2. Foster greater interest and commitment to volunteerism. </t>
  </si>
  <si>
    <t>Through these workshops, we aim to equip students with practical techniques for serving the underprivileged. This will help build their confidence and strengthen their capabilities in volunteer services, thereby enhancing both the effectiveness and outcomes of their efforts. In addition, students will gain a deeper understanding and stronger command of the essential skills and techniques involved.</t>
  </si>
  <si>
    <t>Workshop</t>
  </si>
  <si>
    <t>香港聾人福利促進會
新界綜合服務中心（良景）</t>
  </si>
  <si>
    <t>Representatves from Agency for Volunteer Service and The Hong Kong Society for the Deaf</t>
  </si>
  <si>
    <t xml:space="preserve">Lesson 3 will be off-campus servicein Tuen Mun.  Successful student participants will be notified with the assembly details before the service. </t>
  </si>
  <si>
    <t>The first and second sessions will be conducted in LKK107, while the third session will be conducted at The Hong Kong Society for the Deaf - New Territories Multi-services Centre (Leung King). Participants will be notified by email.</t>
  </si>
  <si>
    <t>ICMC681</t>
  </si>
  <si>
    <t>INO</t>
  </si>
  <si>
    <t>香港中華基督教青年會 — 乾花擺設工作坊</t>
  </si>
  <si>
    <t>Chinese YMCA - Dried Flower Workshop</t>
  </si>
  <si>
    <t>At the end of the activity, students will be able to:
1. Develop mindfulness and present-moment awareness through creative, nature-based tasks; 
2. Establish a meaningful connection with the natural world; and 
3. Cultivate greater self-compassion and empathy.</t>
  </si>
  <si>
    <t>In the creation of dried flower decoratons, participants are encouraged to learn to live in the present moment and connect with nature. In every flower, they discover tenderness and empathy towards themselves and others.</t>
  </si>
  <si>
    <t>LKKG01</t>
  </si>
  <si>
    <t>Counsellors from Chinese YMCA</t>
  </si>
  <si>
    <t>ICMC151</t>
  </si>
  <si>
    <t>生命抉擇劇場:星穹</t>
  </si>
  <si>
    <t>Table for Choices</t>
  </si>
  <si>
    <t>At the end of the activity, students will be able to:
1. Participate in a "Tabletop Role Playing Game" (T.R.P.G.) (桌上角色扮演遊戲) with team members;
2. Elevate empathy and critical thinking capability; and
3. Understand the importance of embracing different views of people.</t>
  </si>
  <si>
    <t xml:space="preserve">The 'Table for Choices" (生命抉擇劇場) is “Tabletop Role Playing Game” (T.R.P.G.)  and was established with an aim to explore social issues, promote life education, cultivate critical thinking, and enhance self-reflection skills. Participants can enjoy puzzle-solving, role-playing, and experience different life situations to trigger reflection.
Once the challenger is immersed in the script, you will incarnate different characters in a specific historical context and complete corresponding tasks. The challenger must give life to the character through on-site role-playing, verbal expression, and actions, and ultimately, due to everyone's choices, the story will enter a diverse ending. Even in the same script, the challenger will have different story experiences due to a slight difference in choices. After each adventure, the host will explain the activity according to the theme message of the script and combined with the on-site performance of the challengers. Interested students are encouraged to visit the respective story boards at https://www.ln.edu.hk/osa/community-services/c.connects and enrol the session.
</t>
  </si>
  <si>
    <t>SEK210</t>
  </si>
  <si>
    <t>Registered Social Worker,
Evangelical Lutheran Church Social Service - Hong Kong (Tuen Mun Integrated Youth Service Centre)</t>
  </si>
  <si>
    <t>This is a role-playing and experiential learning activity, during which students will have to participate proactively in a simulation game. 
Register via: http://www.ln.edu.hk/osa/community-services/c.connects</t>
  </si>
  <si>
    <t>ICMC682</t>
  </si>
  <si>
    <t>規則物語劇場:  西河川規則怪談</t>
  </si>
  <si>
    <t>Social Ruleplay Theater</t>
  </si>
  <si>
    <t xml:space="preserve">Combining the emerging trend of 'rules horror' with the puzzle-solving formats of 'murder mystery games' and 'escape rooms', "Social Ruleplay Theater" (規則密語劇場) enables participants to learn to break free from fixed mindsets and think outside the box during the gameplay. It also cultivates empathy through narrative-based games: by understanding others' thoughts and feelings, students can respond appropriately in social situations. </t>
  </si>
  <si>
    <t>This is a role-playing and experiential learning activity, during which students will have to participate proactively in a simulation game.
Register via: http://www.ln.edu.hk/osa/community-services/c.connects</t>
  </si>
  <si>
    <t>ICMC417</t>
  </si>
  <si>
    <t xml:space="preserve">沉浸式體驗劇場《2030·候》 </t>
  </si>
  <si>
    <t>Hong Kong Red Cross Humanitarian Workshop: From Misunderstanding to Understanding</t>
  </si>
  <si>
    <t>At the end of the activity, students will be able to:
1. Understand the impacts of climate changes through experiential activities;
2. Describe the relief work delivered by Red Cross in both local and global perspectives; and
3. Elevate awareness towards climate change and armed conflict and care for the people who are suffering.</t>
  </si>
  <si>
    <t>Over the past decade, climate emergencies have affected 1.7 billion people worldwide and claimed over 410,000 lives. The direct and indirect losses and damage caused are immeasurable.
What is most easily overlooked is that, among the top 25 countries most affected by climate change, 14 are also experiencing armed conflict.
What happens when climate change and armed conflict converge?
Participants will step into the shoes of climate-displaced persons, working alongside professional actors and volunteer facilitators to experience first-hand how climate change affects individuals' daily lives, family livelihoods, the natural environment, and society at large. Through this immersive experience, participants will gain a deeper understanding of the urgency of climate emergencies and be inspired to take action in their own ways to address this critical issue.</t>
  </si>
  <si>
    <t>香港紅十字會總部7樓</t>
  </si>
  <si>
    <t>Representatives from Hong Kong Red Cross</t>
  </si>
  <si>
    <t xml:space="preserve">This is an off campus activity in Kowloon. </t>
  </si>
  <si>
    <t>ICMC388</t>
  </si>
  <si>
    <t xml:space="preserve">人道價值互動體驗活動: 「融合烹飪」：從差異到共識的互動體驗 </t>
  </si>
  <si>
    <t>Hong Kong Red Cross Humanitarian Workshop: A Journey of Empathy, Reflection and Change</t>
  </si>
  <si>
    <t>At the end of the activity, students will be able to:
1. Experience how cultural differences affect understanding, interaction, and decision-making;
2. Learn to use shared goals and common ground as a basis for dialogue; and 
3. Develop skills such as active listening, empathy, critical thinking, setting aside biases, nonviolent communication, and collaborative negotiation.</t>
  </si>
  <si>
    <t xml:space="preserve">Youth as Agents of Behavioural Change (YABC) is the flagship initiative of The International Federation of Red Cross and Red Crescent Societies (IFRC) on the promotion of a culture of non-violence and peace (CNV+P). It was created in 2008 for youth and with youth from Red Cross and Red Crescent worldwide. YABC empowers them to take up an ethical leadership role in inspiring a positive transformation of mindsets, attitudes and behaviours within themselves and their community. It is built on three pillars: youth empowerment, operating from inner peace and reaching out to the community.
YABC uses non-formal peer education techniques such as games, role plays, simulation and visualization exercises, storytelling and arts. Through these activities, participants are encouraged to step out of their comfort zone, working together to learn and explore solutions to problems—all in a safe and supportive learning environment.
</t>
  </si>
  <si>
    <t>LKK202</t>
  </si>
  <si>
    <t>This is a role-playing and experiential learning activity, during which students will have to participate proactively in a simulation game.</t>
  </si>
  <si>
    <t>ICMC683</t>
  </si>
  <si>
    <t>喵坊參觀及再生紙擴香石工作坊</t>
  </si>
  <si>
    <t>Mil Mills Tour and Recycled Paper Diffuser Stone Workshop</t>
  </si>
  <si>
    <t>At the end of the activity, students will be able to:
1. Identify industrial recycling machinery and understand how Mil Mill processes up to 50 tonnes of beverage cartons into paper pulp daily;
2. Analyse the circular economy by tracing cartons from waste to pulp, then applying hands-on experience to create a recycled paper diffuser stone; and
3. Evaluate sustainability challenges of beverage carton recycling, including separation of materials and the role of local processing in reducing landfill.</t>
  </si>
  <si>
    <t>Mil Mill’s Fanling facility is Hong Kong’s first and the only beverage carton recycling plant and education centre, now expanded to process up to 60 tonnes of wastepaper and cotton linen materials each day. The recovered materials are turned into recycled pulp and transformed into diverse sustainable paper products.
This visit offers students a behind-the-scenes look at the machinery, an environmental talk, and a hands on recycled paper diffuser stone workshop.</t>
  </si>
  <si>
    <t>Activity/Visit</t>
  </si>
  <si>
    <t>喵坊粉嶺回收廠房</t>
  </si>
  <si>
    <t>Representatives from Mil Mill</t>
  </si>
  <si>
    <t xml:space="preserve">Successful student participants will be notified with the assembly details before the event. </t>
  </si>
  <si>
    <t>This is an off-campus activity.  One-way shuttle bus service will be provided from the campus to the Mil Mill Recycling Facility in Fanling.  The activity will conclude at Fanling MTR Station.</t>
  </si>
  <si>
    <t>ICMC684</t>
  </si>
  <si>
    <t>IST</t>
  </si>
  <si>
    <t>香港精神科發展歷史導「想」團 - 青山醫院</t>
  </si>
  <si>
    <t>A Guided Tour to Castle Peak Hospital on the History of Psychiatric Development in Hong Kong</t>
  </si>
  <si>
    <t>At the end of the activity, students will be able to:
1. Describe key milestones in Hong Kong’s psychiatric development and explain how societal attitudes toward mental illness have evolved, using Castle Peak Hospital as a case study;
2. Develop empathy &amp; person-centred perspectives and recognise the lived experiences of mental health patients, moving beyond stereotypes to appreciate dignity, recovery, and social inclusion; and
3. Identify current strengths and limitations of Hong Kong’s mental health system.</t>
  </si>
  <si>
    <t>This guided visit to Castle Peak Hospital explores Hong Kong’s psychiatric development through history, current services, and future directions. Through group games, discussions, Q&amp;A sessions, and experiential learning, students gain an in-depth, empathetic understanding of mental health and recovery.</t>
  </si>
  <si>
    <t>屯門青山醫院精神健康體驗館</t>
  </si>
  <si>
    <t>Representative from Heart to Heart</t>
  </si>
  <si>
    <t xml:space="preserve">This is an off campus activity in Tuen Mun. </t>
  </si>
  <si>
    <t>ICMC685</t>
  </si>
  <si>
    <t>香港移植運動協會簡介會</t>
  </si>
  <si>
    <t>Introductory Session of Hong Kong Transplant Sports Association</t>
  </si>
  <si>
    <t>At the end of the activity, students will be able to:
1.Recognise how sports can enhance the physical fitness, mental resilience, and emotional well-being of organ transplant recipients and dialysis patients, contributing to their holistic recovery;
2. Gain a deeper understanding of the challenges faced by transplant patients and develop a more compassionate perspective towards their journey; and
3. Recognise the critical role of organ donation in saving and transforming lives, and will be inspired to promote organ donation awareness within their own communities.</t>
  </si>
  <si>
    <t>Participants will gain valuable insights into the transformative power of sports in post-transplant recovery, hear a personal testimony of hope and determination, and learn how they can contribute to promoting organ donation in Hong Kong. This session will explore how sports serve as a powerful tool for building self-confidence, fostering a renewed sense of purpose, and empowering individuals to face life's challenges with greater optimism, resilience, and positivity. It also seeks to raise public awareness of the critical importance of organ donation, encouraging a more compassionate and supportive community.</t>
  </si>
  <si>
    <t>MBG19</t>
  </si>
  <si>
    <t>Representative from Hong Kong Transplant Sports Association and organ transplant recipient</t>
  </si>
  <si>
    <t>嶺南大學國旗護衛隊 (升旗服務)</t>
  </si>
  <si>
    <t>Lingnan University Flag Guard Team (Flag Raising Duty)</t>
  </si>
  <si>
    <t>At the end of the event, students will be able to:
1.	Acquire adequate training to take up the solemn flag raising duty;
2.	Develop an appreciation of belonging to our country; and
3.	Enhance the sense of national identity.</t>
  </si>
  <si>
    <t>Upon successful completion of the 22-hour training programme offered and conducted by the Hong Kong Army Cadets Association (香港青少年軍總會) during October - November in every academic year, student members of the Lingnan University Student Flag Guard Team will contribute their parts in the Weekly Flag Raising Ceremonies as well as the following Special Flag Raising Ceremonies in the University:
1) 1 January (New Year’s Day) 
2) First Day of Term 2, or first day of class after the Chinese New Year break   
3) 1 July (HKSAR Establishment Day) 
4) New Student Orientation Day (August) 
5) Orientation for Postgraduate Students (August)
6) 1 October (National Day) 
7) Lingnan University Congregation Day (November)</t>
  </si>
  <si>
    <t>Qualified trainers from the Hong Kong Army Cadets Association (香港青少年軍總會)</t>
  </si>
  <si>
    <t>Ms. Angie Lau</t>
  </si>
  <si>
    <t>angielau@ln.edu.hk</t>
  </si>
  <si>
    <t>廉政大使計劃</t>
  </si>
  <si>
    <t>ICAC Ambassador Programme</t>
  </si>
  <si>
    <t xml:space="preserve">At the end of the activity, students will be able to:
1. Equip students with knowledge and skills to be effective and ethical leaders;
2. Mobilize the ambassadors to promote ICAC messages and positive values among fellow schoolmates and the public through different projects and activities; and
3. Enlist the support of students for the anti-corruption work in Hong Kong. </t>
  </si>
  <si>
    <t>To encourage students in the promotion of integrity, the Independent Commission Against Corruption (ICAC) has launched an “ICAC Ambassador Programme” in collaboration with the Office of Student Affairs to mobilise students to organise on-campus integrity activities.</t>
  </si>
  <si>
    <t>Mr. Linus LAU</t>
  </si>
  <si>
    <t>linuslau@ln.edu.hk</t>
  </si>
  <si>
    <t>Ms. Elaine TSANG</t>
  </si>
  <si>
    <t>tsangyl@LN.edu.hk</t>
  </si>
  <si>
    <t>ICMC180</t>
  </si>
  <si>
    <t>I05</t>
  </si>
  <si>
    <t>國際容領計劃</t>
  </si>
  <si>
    <t>Global Inclusive Leadership Programme</t>
  </si>
  <si>
    <t>Global Inclusive Leadership Programme (Certificate Programme)</t>
  </si>
  <si>
    <t>At the end of the activity, students will be able to:
1. Embark on self-discovery values-based &amp; purposeful leadership journey;
2. Nurture critical thinking, personal growth and self-discovery; and
3. Engage in leadership-in-action cross-disciplinary SMART AI projects.</t>
  </si>
  <si>
    <t>The Global Inclusive Leadership Programme in the AI era aims to develop the next generation of inclusive leaders in the AI era who are ethical, purpose-driven and global-minded.The programme is based on a strong set of values which are the drivers in the development of character. Experience of the program encourages self-discovery and enables skills to develop which help the next generation to discover their purpose and vision. It empowers them to reach beyond their own immediate success towards significance within the local and global community. Through self-discovery, experience learning, reflective thinking and challenges, the program inspires next generation to see greater possibilities, and motivates them to pursue a purpose greater than themselves.
The platform has four cornerstones: (a) Values-based Leadership, (b) STEM+ Innovation &amp; Big Data, (c) Arts &amp; Culture, (d) Sustainability &amp; Entrepreneurship, which is built upon glocal partnerships across different sectors, academia, businesses and industries. With the global diversified ecosystem that it co-create with young people across the different cultures and disciplines, it empower them from all background to unleash their potential and grow to be global leaders.</t>
  </si>
  <si>
    <t>Sun</t>
  </si>
  <si>
    <t>Dr.</t>
  </si>
  <si>
    <t>Violet</t>
  </si>
  <si>
    <t>LO</t>
  </si>
  <si>
    <t>Founder, Inclusive Business Lab &amp; Inclusive Business Foundation</t>
  </si>
  <si>
    <t>Mr.</t>
  </si>
  <si>
    <t>Ming</t>
  </si>
  <si>
    <t>HSIEH</t>
  </si>
  <si>
    <t>Co-founder of Inclusive Business Lab &amp; Inclusive Business Foundation</t>
  </si>
  <si>
    <t xml:space="preserve">Certificate will be awarded to students once they have fulfilled all the programme requirements.
</t>
  </si>
  <si>
    <t>Ms.Kristy CHAN</t>
  </si>
  <si>
    <t>hoiyihchan@ln.edu.hk</t>
  </si>
  <si>
    <t>Mr. Jeffy LAU</t>
  </si>
  <si>
    <t>jeffylau@ln.edu.hk</t>
  </si>
  <si>
    <t>ICMC686</t>
  </si>
  <si>
    <t>DoS</t>
  </si>
  <si>
    <t>其他課程</t>
  </si>
  <si>
    <t>Others</t>
  </si>
  <si>
    <t>身在塱原: 自然生態半天遊</t>
  </si>
  <si>
    <t>Getting in Long Valley: Immerse into Nature and Ecology</t>
  </si>
  <si>
    <t>At the end of the activity, students will be able to:
1. Observe and identify commonly seen species and wildlife in a remote ecological-valued habitat;
2.  Appreciate the beauty of natural wildlife, and understand how sustainability works for biodiversity protection; and
3.  Relax and enjoy in the half-day workshop with new friends.</t>
  </si>
  <si>
    <t>Let's enjoy a half-day experience of nature tour just near the neighbourhood of LU! 
Located in Sheung Shui, the New Territories, the Long Valley Nature Park is a perfect place to chill and learn about ecology among natural surroundings. You will be guided among the agricultural, biodiversity and visitor zones that cover ecosystems suitable for birds, insects and other species. No matter you are nature lovers or simply looking for relaxation, this visit will definitely leave an impressive connection with local natural heritage. Round-trip shuttle will be provided from Lingnan. 
Sign up now to reserve your spot!</t>
  </si>
  <si>
    <t>Long Valley Nature Park
 (Long Valley Nature Centre, Kwu Tung North, New Territories, Hong Kong)</t>
  </si>
  <si>
    <t>Representative of Long Valley Nature Park</t>
  </si>
  <si>
    <t xml:space="preserve">Lingnan Main Campus </t>
  </si>
  <si>
    <t>Teresa SIU</t>
  </si>
  <si>
    <t>teresasiu@ln.edu.hk</t>
  </si>
  <si>
    <t>ICMC003</t>
  </si>
  <si>
    <t>Office of Global Education</t>
  </si>
  <si>
    <t>學生交流計劃簡介會</t>
  </si>
  <si>
    <t>Opportunity for Student Exchange Programme</t>
  </si>
  <si>
    <t>At the end of the activity, students will be able to:
1. Understand the advantages of joining a student exchange programme, as well as the eligibility and application procedures;
2. Identify the exchange periods and destinations; and
3. Understand the processes of credit transfer and scholarship opportunities.</t>
  </si>
  <si>
    <t xml:space="preserve">Join us for an informative session on our student exchange program! This is a fantastic opportunity to learn about the benefits of studying abroad.
- Overview of the student exchange program;
- Eligibility requirements and application timelines; and
- Insights from students who have participated in the program.
</t>
  </si>
  <si>
    <t>MBG07</t>
  </si>
  <si>
    <t>Ms. Corrine LAU</t>
  </si>
  <si>
    <t>corrine.lau@ln.edu.hk</t>
  </si>
  <si>
    <t>Ms. Mandy CHEUNG</t>
  </si>
  <si>
    <t>mandycheung2@ln.edu.hk</t>
  </si>
  <si>
    <t>Opportunity for Student Exchange Programmes</t>
  </si>
  <si>
    <t>ICMC419</t>
  </si>
  <si>
    <t>OCC</t>
  </si>
  <si>
    <t>吱吱喳喳：由鳥鳴認識本地雀鳥</t>
  </si>
  <si>
    <t>Bird Calls 101: Discover Hong Kong Birds through their Calls</t>
  </si>
  <si>
    <t>At the end of the activity, students will be able to:
1. Recognise how bird calls can help us understand and appreciate local birdlife;
2. Appreciate the diversity of Hong Kong’s birdlife and local biodiversity; and
3. Reflect on individual and collective responsibilities in supporting biodiversity conservation and environmental sustainability in Hong Kong.</t>
  </si>
  <si>
    <t>Do you know which bird species are commonly found in Hong Kong? How many bird species can you identify just by hearing their calls?
We are delighted to welcome speakers from the Hong Kong Bird Watching Society (HKBWS). Through bird calls, participants will have the opportunity to discover common and rare local birds, learn more about their ecology and behaviours, and explore topics related to local biodiversity and conservation.
The activity will be conducted in Cantonese. All students are welcome, with priority given to UGC-funded undergraduate students.</t>
  </si>
  <si>
    <t>Hybrid</t>
  </si>
  <si>
    <t>Tom</t>
  </si>
  <si>
    <t xml:space="preserve">Assistant Research Manager, Hong Kong Bird Watching Society (HKBWS) </t>
  </si>
  <si>
    <t>Jay</t>
  </si>
  <si>
    <t>KONG</t>
  </si>
  <si>
    <t xml:space="preserve">Research Officer, Hong Kong Bird Watching Society (HKBWS) </t>
  </si>
  <si>
    <t>Visit OCC website for details at https://ln.edu.hk/occ/events/2026-27/bird-calls</t>
  </si>
  <si>
    <t>https://lingnan.zoom.us/meetings/93930060762/invitations?signature=RPhDl_L-oBcwEq6Irq8B2SDnDgyJQk5TG8FlI9WfWGA</t>
  </si>
  <si>
    <t>939 3006 0762</t>
  </si>
  <si>
    <t>Ms. Sophie CHENG</t>
  </si>
  <si>
    <t>sophiecheng@ln.edu.hk</t>
  </si>
  <si>
    <t>Ms. Joey LEE</t>
  </si>
  <si>
    <t>joeylsw@ln.edu.hk</t>
  </si>
  <si>
    <t>ICMC412</t>
  </si>
  <si>
    <t>Student Experience &amp; Residential Life</t>
  </si>
  <si>
    <t>Orientation Tour for New Non-local Students</t>
  </si>
  <si>
    <t>Wander in the Neighbourhoods Series: Tuen Mun Tour 1</t>
  </si>
  <si>
    <t>At the end of the activity, students will be able to:
1. Understand the cultural heritage and community dynamics of Tuen Mun; and
2.  Recognise key facilities, transport hubs, and recreational venues in Tuen Mun, enabling confident and independent navigation of the neighbourhood.</t>
  </si>
  <si>
    <t xml:space="preserve">During the tour, students will explore the local life and rich heritage of Tuen Mun. Through visits to religious sites, public housing estates, transportation hubs, and local markets, studentss will gain a deeper understanding of Hong Kong’s grassroots culture, community dynamics, and urban development. </t>
  </si>
  <si>
    <t>Instructor from CANTONET</t>
  </si>
  <si>
    <t>University Main Entrance</t>
  </si>
  <si>
    <t>Chan Tsz Lam</t>
  </si>
  <si>
    <t>tszlamchan@ln.edu.hk</t>
  </si>
  <si>
    <t>Athena He</t>
  </si>
  <si>
    <t>athenahe@ln.edu.hk</t>
  </si>
  <si>
    <t>ICMC413</t>
  </si>
  <si>
    <t>Wander in the Neighbourhoods Series: Tuen Mun Tour 2</t>
  </si>
  <si>
    <t>ICMC414</t>
  </si>
  <si>
    <t>Wings and Roots: A Sham Shui Po Adventure</t>
  </si>
  <si>
    <t>At the end of the activity, students will be able to:
1. Recognise common city birds in Sham Shui Po and understand their interaction with the local built environment; and
2. Gain alternative insights into Sham Shui Po's local culture, history, and community fabric through visits to Nam Shan Estate, Garden Hill, Shek Kei Mei Park, and Mei Ho House.</t>
  </si>
  <si>
    <t>This walking tour introduces students to Sham Shui Po through the City Birds Adventure Book. Participants will explore Nam Shan Estate, Garden Hill, Shek Kei Mei Park, and Mei Ho House while learning about the city's "birdy neighbours." Through observation and storytelling, the tour offers fresh insights into local culture and fosters connections among participants in a relaxed setting.</t>
  </si>
  <si>
    <t>Instructor from Make a Difference Institute</t>
  </si>
  <si>
    <t>ICMC271</t>
  </si>
  <si>
    <t>Historical Exploration: Aberdeen Fishing Village</t>
  </si>
  <si>
    <t>At the end of the activity, students will be able to:
1.  Understand the history and development of the fishing villages in Hong Kong;
2.  Learn about the traditions and culture of these fishing communities.</t>
  </si>
  <si>
    <t>During the tour, students will visit the historic streets and ancient temples of Aberdeen; take a short ferry ride in the Aberdeen harbour; and experience the unique lifestyle and culture of a fishing village.</t>
  </si>
  <si>
    <t>Instructor from Kaifong Tour</t>
  </si>
  <si>
    <t>ICMC415</t>
  </si>
  <si>
    <t>Streets, Stories and the City: Central and Tai Kwun</t>
  </si>
  <si>
    <t xml:space="preserve">At the end of the activity, students will be able to:
1. Identify key historical landmarks in Central and explain how they reflect the cultural intersections and early development that shaped Hong Kong's early development; and
2.  Describe what they learned from the personal stories of ethnic minority youth docents at Tai Kwun, and discuss how these stories reflect Hong Kong's diverse culture and the importance of inclusion.
</t>
  </si>
  <si>
    <t>This tour introduces students to Hong Kong's multicultural heritage. In Central, a heritage expert will guide students through historic sites that show how Chinese and Western cultures mixed in Hong Kong's early days. The tour then moves to Tai Kwun, where young docents from ethnic minority communities will share personal stories through the "We All Belong" programme, offering fresh perspectives on Hong Kong's diverse society.</t>
  </si>
  <si>
    <t>Instructor from Tai Kwun</t>
  </si>
  <si>
    <t>ICMC416</t>
  </si>
  <si>
    <t>Tai Hang: The Triangular Valley of the Frie Dragon and Living Tradition</t>
  </si>
  <si>
    <t xml:space="preserve">At the end of the activity, students will be able to:
1. Identify the key elements of Tai Hang's intangible cultural heritage and the community significance of the Tai Hang Fire Dragon Dance through site visits along the procession route and guided exhibits at the Fire Dragon Heritage Centre; and
2. Recognise key features of Tai Hang's neighbourhood and articulate how these everyday spaces support the continued practice and transmission of living heritage.
</t>
  </si>
  <si>
    <t>This walking tour offers students an introduction to Tai Hang, home to the nationally recognised intangible cultural heritage of the Mid-Autumn Fire Dragon Dance. Participants will trace the procession route, visit Lin Fa Kung Temple and the Fire Dragon Heritage Centre, and explore the area's architectural contrasts and street-stall culture. The walk highlights how this century-old tradition lives on through daily community practice, not just in museum displays.</t>
  </si>
  <si>
    <t>ICMC634</t>
  </si>
  <si>
    <t>領袖訓練系列</t>
  </si>
  <si>
    <t>Leadership Enhancement Programme</t>
  </si>
  <si>
    <t xml:space="preserve">領袖訓練系列 - 
國安法講座
</t>
  </si>
  <si>
    <t>Leadership Enhancement Programme - 
Seminar on National Security Law</t>
  </si>
  <si>
    <t>At the end of the activity, students will be able to:
1. Learn about the National Security Law;
2. Understand the importance of National Security Law to Hong Kong SAR; and
3. Identify and avoid the unlawful behaviour under the National Security Law.</t>
  </si>
  <si>
    <t>The talk will provide an overview of the National Security Law with relevant examples, and discuss practical issues and concerns for student leaders when organising student activities.</t>
  </si>
  <si>
    <t>Virtual</t>
  </si>
  <si>
    <t>Jamie</t>
  </si>
  <si>
    <t>HU</t>
  </si>
  <si>
    <t>Hong Kong Basic Law Foundation</t>
  </si>
  <si>
    <t>TBC</t>
  </si>
  <si>
    <t>Ms. Sita Wong</t>
  </si>
  <si>
    <t>sita@ln.edu.hk</t>
  </si>
  <si>
    <t>Mr. Derek Chan</t>
  </si>
  <si>
    <t>derek.chan@LN.edu.hk</t>
  </si>
  <si>
    <t>ICMC418</t>
  </si>
  <si>
    <t>Emcee Training Workshop (English)</t>
  </si>
  <si>
    <t xml:space="preserve">At the end of the training workshop, students will be able to:
1. Learn about how to deliver an attractive speech and be a quality Emcee;
2. Learn about tricks and implications of body language; and
3. Assist in the University's events as master of ceremonies. </t>
  </si>
  <si>
    <t>The workshop will be tailor-made to train student emcee who will serve in University events or student activities in the future. The workshop will cover speaking techniques, body language, stage courtesy and handling contingency situations. Participating students will be required to pledge to serve in at least one University event in the future.</t>
  </si>
  <si>
    <t>CELD</t>
  </si>
  <si>
    <t>LKK102</t>
  </si>
  <si>
    <t>Andy</t>
  </si>
  <si>
    <t>WONG</t>
  </si>
  <si>
    <t>Principal Strategist and Director of Channel Services &amp; Communications Ltd.</t>
  </si>
  <si>
    <t>Sarah Ng</t>
  </si>
  <si>
    <t>sarahng2@ln.edu.hk</t>
  </si>
  <si>
    <t>Bmos Cheng</t>
  </si>
  <si>
    <t>bmoscheng@ln.edu.hk</t>
  </si>
  <si>
    <t>ICMC026</t>
  </si>
  <si>
    <t>領袖訓練系列 - 
學生組織的優質管理與誠信管治</t>
  </si>
  <si>
    <t>Leadership Enhancement Programme - 
Management, Integrity and Anti-Corruption for Student Societies</t>
  </si>
  <si>
    <t>At the end of the activity, students will be able to:
1. Share about integrity and governance for student societies with real life examples; 
2. Raise the awareness of anti-corruption; and
3. Understand the university policy and management skills in running student activities.</t>
  </si>
  <si>
    <t>The talk aims to introduce important information for student leaders in managing student societies effectively while upholding integrity. The importance of safeguarding the interests of their members will be highlighted. Students will explore the meaning of good governance and how to make wise decisions and say no to corruptions. Relevant laws and tips on running a sustainable student society will also be described during this session.</t>
  </si>
  <si>
    <t>Benson</t>
  </si>
  <si>
    <t>TSE</t>
  </si>
  <si>
    <t>Community Relations Officer</t>
  </si>
  <si>
    <t>ICMC027</t>
  </si>
  <si>
    <t>領袖訓練系列 - 
向校園性騷擾說不</t>
  </si>
  <si>
    <t>Leadership Enhancement Programme - 
Say NO to Sexual Harassment in Student Activities</t>
  </si>
  <si>
    <t xml:space="preserve">At the end of the activity, students will be able to:
1. Understand the concept of sexual harassment;
2. Avoid it in the context of university life; and
3. Address gender equality (Sustainable Development Goal No. 5) in the discussion. </t>
  </si>
  <si>
    <t>This workshop will introduce the concept of sexual harassment and identify behaviour which constitutes sexual harassment.  Gender equality (Sustainable Development Goal No. 5) and relevant cases will also be shared with student leaders to understand their liability for sexual harassment.</t>
  </si>
  <si>
    <t>Sally</t>
  </si>
  <si>
    <t>CHAN</t>
  </si>
  <si>
    <t>Anti-Sexual Harassment Unit
Equal Opportunities Commission</t>
  </si>
  <si>
    <t xml:space="preserve">At the end of the activity, students will be able to:
1. 
2.  
3. </t>
  </si>
  <si>
    <r>
      <t>Lingnan Language Enhancement Initiative (L</t>
    </r>
    <r>
      <rPr>
        <b/>
        <vertAlign val="superscript"/>
        <sz val="10"/>
        <color theme="1"/>
        <rFont val="Calibri"/>
        <family val="2"/>
      </rPr>
      <t>2</t>
    </r>
    <r>
      <rPr>
        <b/>
        <sz val="10"/>
        <color theme="1"/>
        <rFont val="Calibri"/>
        <family val="2"/>
      </rPr>
      <t>EI)
(Y/N)</t>
    </r>
  </si>
  <si>
    <t>IIMC355</t>
  </si>
  <si>
    <t>Career Advising</t>
  </si>
  <si>
    <t>事業起步篇</t>
  </si>
  <si>
    <t>Career Preparation Series</t>
  </si>
  <si>
    <t>香港就業市場面面觀</t>
  </si>
  <si>
    <t>Understanding Current Job Market in Digital and Innovative Era for Career Success</t>
  </si>
  <si>
    <t>At the end of the seminar, students are able to:
1. Describe the updated trends of the job market; 
2. Grasp the information about emerging/popular industries and posts; and
3. Plan and prepare for future careers.</t>
  </si>
  <si>
    <t>The seminar will familiarise students with current job market trends, mostly advertised jobs, and future outlook to enable students to grasp enough information for career planning and job search.</t>
  </si>
  <si>
    <t>Intellectual and Entrepreneurship Development</t>
  </si>
  <si>
    <t>Anthony</t>
  </si>
  <si>
    <t>SO</t>
  </si>
  <si>
    <t>Co-founder &amp; CEO, OnMyGrad</t>
  </si>
  <si>
    <t>https://lingnan.zoom.us/j/92918566788?pwd=t1o8byb2T4K1kwRR5LrJOeL5ZzTIWI.1</t>
  </si>
  <si>
    <t>929 1856 6788</t>
  </si>
  <si>
    <t>Ms. Mandy Choi</t>
  </si>
  <si>
    <t>my2choi@ln.edu.hk</t>
  </si>
  <si>
    <t>Mr. Albert Suen</t>
  </si>
  <si>
    <t>suenalb@ln.edu.hk</t>
  </si>
  <si>
    <t>IIMC769</t>
  </si>
  <si>
    <t>認識多元化SEN教育行業</t>
  </si>
  <si>
    <t>Exploring Opportunities in SEN Education Sector</t>
  </si>
  <si>
    <t>At the end of the activity, students will be able to:
1. Understand the role and scope of the SEN education sector; and
2. Identify career pathways and professional opportunities within the SEN education field.</t>
  </si>
  <si>
    <t>This workshop offers an introduction to the Special Educational Needs (SEN) education sector and its growing range of career opportunities.  Students will gain insights into the needs of diverse learners, the importance of inclusive education, and the various professional roles available in schools, learning centres, and support organisations.  Through industry sharing and practical insights,  students will learn how they can develop the skills and experience needed to pursue a rewarding career in SEN education.</t>
  </si>
  <si>
    <t>Speaker invited by Hong Kong Greater Bay Area Guangdong Youth Association (香港大灣區粵青會)</t>
  </si>
  <si>
    <t>Mr. Edwin FOK</t>
  </si>
  <si>
    <t>edwinfok@LN.edu.hk</t>
  </si>
  <si>
    <t>IIMC007</t>
  </si>
  <si>
    <t>職業探索篇</t>
  </si>
  <si>
    <t>Career Exploration Series</t>
  </si>
  <si>
    <t>就業探索與規劃 — 
MBTI職業性格測試分析</t>
  </si>
  <si>
    <t>Career Workshop: Applying MBTI Assessment to Your Career Exploration &amp; Planning</t>
  </si>
  <si>
    <t>Group 1</t>
  </si>
  <si>
    <t>At the end of the workshop, students are able to:
1. Understand more about their own style/personality, career interest and inclination; 
2. Start the planning of their own career goal; and
3. Better prepare for their future careers.</t>
  </si>
  <si>
    <t>Through the workshop, the professional trainer will use the assessment tool to help students identify their own career interest and inclination. Besides, the trainer will also familiarize students with appropriate steps to plan their for career goal.</t>
  </si>
  <si>
    <t>LYH316</t>
  </si>
  <si>
    <t>Albert</t>
  </si>
  <si>
    <t>KWOK</t>
  </si>
  <si>
    <t>Licensed MBTI Trainer and Career Coach</t>
  </si>
  <si>
    <t>Group 2</t>
  </si>
  <si>
    <t>IIMC761</t>
  </si>
  <si>
    <t>Empowering Tomorrow: Smart Money Management &amp; Career Pathways with Bank of China (Hong Kong)</t>
  </si>
  <si>
    <t xml:space="preserve">At the end of the event, students will be able to:
1. Build practical skills in personal budgeting, saving, and smart investing while learning to identify and prevent sophisticated financial scams;
2. Gain insider insights into high-demand skills, emerging trends, and diverse career opportunities in the banking sector; and
3. Understand how combining sound money management, financial vigilance, and strategic career planning to foster sustainable independence and professional growth.
</t>
  </si>
  <si>
    <t>This practical event equips students with essential financial literacy to build personal wealth while exploring dynamic banking careers.  It enables students to learn how to safeguard their assets against modern digital scams, make informed financial choices, and future-proof their professional journey.</t>
  </si>
  <si>
    <t>Representatives of Bank of China</t>
  </si>
  <si>
    <t>IIMC763</t>
  </si>
  <si>
    <t>「演講技巧訓練」系列</t>
  </si>
  <si>
    <t>Toastmasters Training for Public Speaking</t>
  </si>
  <si>
    <t>I</t>
  </si>
  <si>
    <t>At the end of each session, students will be able to:
1. Demonstrate the techniques required in English public speaking and refine it through constant practice; 
2. Develop competent listening and evaluation skills for the delivery of constructive feedback; and
3. Identify the resources and name the channels and opportunities available for students to develop as good communicators and leaders.</t>
  </si>
  <si>
    <t>The whole idea of Toastmasters Training is to develop students' English speaking skills effectively through delivering prepared and impromptu speeches in front of groups and by working with others in a supportive atmosphere.  Participants are also involved in providing feedback and evaluation to one another's presentation.  Students who are keen to acquire further qualifications in public speaking and leadership can join the Lingnan University Toastmasters Club as an international member, joining speech contests and workshops, and continue to work on personal and professional development through the Toastmasters education program: the Toastmasters Pathways learning experience.</t>
  </si>
  <si>
    <t>LKK103</t>
  </si>
  <si>
    <t>Lingnan University, Toastmasters Club</t>
  </si>
  <si>
    <t>Mr. Edwin Fok</t>
  </si>
  <si>
    <t>edwinfok@ln.edu.hk</t>
  </si>
  <si>
    <t>IIMC774</t>
  </si>
  <si>
    <t xml:space="preserve">3D Career Scheme 
Discover. Decide. Do. 
Take Charge of Your Future.			</t>
  </si>
  <si>
    <t>Brand New Me: Building My Career Path from Day One</t>
  </si>
  <si>
    <t>At the end of the activity, students will be able to:
1. Identify key elements of a university portfolio and begin planning their own 4-year map;
2. Reflect on their values, interests, and strength; and
3. Explore campus resources and learn how to use them.</t>
  </si>
  <si>
    <t>This workshop is designed to support first-year university students to craft a personal roadmap for the 4-year journey ahead. Through interactive games, self-discovery activities, and hands-on planning, you’ll explore how to build a standout portfolio, make the most of campus resources, and shape a university experience that aligns with your passions and career goals. Whether you know exactly what you want or are still figuring it out, this session will equip you with tools and ideas to kickstart your journey with confidence.</t>
  </si>
  <si>
    <t>SEK205</t>
  </si>
  <si>
    <t>Cynthia</t>
  </si>
  <si>
    <t>LAM</t>
  </si>
  <si>
    <t>- Assisant Student Affairs Manager I, OSA
- Global Career Development Facilitator
- Qualified Personality Dimension® Facilitator (Level I) 
- ACF Certified Coach Level 1 (Performance Level)</t>
  </si>
  <si>
    <t xml:space="preserve">Annie </t>
  </si>
  <si>
    <t>LAU</t>
  </si>
  <si>
    <t xml:space="preserve">Senior Student Affairs Officer, OSA
- Certified DISC Game Facilitator
- Certified Professional Behavioral and Driving Forces Analyst
- Qualified Personality Dimension® Facilitator (Level I) </t>
  </si>
  <si>
    <t>Ms. Annie Lau</t>
  </si>
  <si>
    <t>sinmanlau@ln.edu.hk</t>
  </si>
  <si>
    <t>Ms. Cynthia Lam</t>
  </si>
  <si>
    <t>cynthialam@ln.edu.hk</t>
  </si>
  <si>
    <t>IIMC773</t>
  </si>
  <si>
    <t>職場致勝之道系列</t>
  </si>
  <si>
    <t>Pathway to Workplace Success Series</t>
  </si>
  <si>
    <t>贏在自我介紹：打造令人難忘的求職第一印象</t>
  </si>
  <si>
    <t>Winning with Self-Introduction: Craft a Memorable First Impression in Job Hunting</t>
  </si>
  <si>
    <t>At the end of the activity, students will be able to:
1. Transform personal experiences into compelling storytelling self-introductions that create a memorable first impression in interviews;
2. Build confidence in self-expression and overcome common psychological barriers; and
3. Adapt self-introductions flexibly to different interview formats and situations.</t>
  </si>
  <si>
    <t>Through the sharing of a professional Public Speaking and Communication Coach, students will learn how to craft a compelling storytelling self-introduction that creates a memorable first impression in job interviews. The consultant will share updated interview trends, essential techniques for structuring personal stories, and practical skills to highlight individual strengths and experiences. Students will engage in interactive exercises and receive feedback to refine their delivery.
This workshop equips students with effective self-presentation skills, sharpens their competitive edge in the job market, and greatly benefits their career preparation and job hunting process.</t>
  </si>
  <si>
    <t>Kidd</t>
  </si>
  <si>
    <t>FUNG</t>
  </si>
  <si>
    <t>Director,  Professional Communication Association Limited; 
Professional Public Speaking and Communication Coach
10+ years of experience in public speaking training</t>
  </si>
  <si>
    <t>IIMC358</t>
  </si>
  <si>
    <t>應對「能力傾向測試」工作坊</t>
  </si>
  <si>
    <t>Career Workshop: Practical Skills for Aptitude Test</t>
  </si>
  <si>
    <t>At the end of the workshop, students are able to:
1.  Describe the preparation and techniques for handling aptitude tests during job search; 
2.  Understand how to better prepare for aptitude tests; and
3.  Enhance related skills and knowledge for job hunting.</t>
  </si>
  <si>
    <t>In this workshop, the guest speaker will share with students how to prepare and handle aptitude tests during job search. The ultimate goal is to help students pass this initial screening test and proceed to next round of selection process as well as winning the job offers finally.</t>
  </si>
  <si>
    <t>https://lingnan.zoom.us/j/99284265026?pwd=XwaUf18NybYbq0ZeeUUNmFhlaXAcMc.1</t>
  </si>
  <si>
    <t>992 8426 5026</t>
  </si>
  <si>
    <t>IIMC544</t>
  </si>
  <si>
    <t>永續發展篇</t>
  </si>
  <si>
    <t>Sustainable Development Series</t>
  </si>
  <si>
    <t>環境,社會和管治（ESG）對未來職場面貌之影響？</t>
  </si>
  <si>
    <t xml:space="preserve">Career Talk: SDG Series - The Impact of ESG (Environmental, Social, Governance) on Shaping Future Landscape of Careers </t>
    <phoneticPr fontId="0" type="noConversion"/>
  </si>
  <si>
    <t>At the end of the activity, students will be able to:
1. Understand the concepts and latest development of ESG;
2. Describe the impacts of ESG in industries; and
3. Know how to equip with ESG knowledge/skills to better prepare for future careers.</t>
  </si>
  <si>
    <t>Through the sharing of the speaker, students will understand more about how the ESG is changing the workplace from now and beyond. Hence students can upskill themselves and make necessary preparation for future career development.</t>
  </si>
  <si>
    <t>Candy</t>
  </si>
  <si>
    <t>President,
International Marketing and Investment Association (IMAIA)
國際市場推廣及投資協會 | Committee Member,
Hong Kong Internet and E-commerce Association (HKIECA)
香港互聯網及電子商務發展協會</t>
  </si>
  <si>
    <t>https://lingnan.zoom.us/j/96044610616?pwd=OTRaVZektreb5kbTHVUwO0SusZ79Gc.1</t>
  </si>
  <si>
    <t>960 4461 0616</t>
  </si>
  <si>
    <t>IIMC191</t>
  </si>
  <si>
    <t>求職準備多面體</t>
  </si>
  <si>
    <t>CEP Seminar: Getting Yourself Prepared for Recruitment Selection</t>
  </si>
  <si>
    <t>At the end of the seminar, students will be able to:
1. Describe the assessment tools commonly used by current employers during recruitment process; 
2. Grasp and apply related information/knowledge on how to deal with job hunting; and
3. Better prepare for future job seeking.</t>
  </si>
  <si>
    <t>Through the sharing of professional HR consultant, students would familiarize themselves with various assessment tools commonly used by current employers during the selection process. The consultant would also share with students the rationale behind the use of such assessments as well as related marking scheme. Hence the event could benefit students a lot for their career preparation and job hunting.</t>
  </si>
  <si>
    <t>Eric</t>
  </si>
  <si>
    <t>Managing Director, Leadingenes Limited</t>
  </si>
  <si>
    <t>https://lingnan.zoom.us/j/91812924481?pwd=0BM5CAbIxGHDYhKYSBPVefVQwCd6ri.1</t>
  </si>
  <si>
    <t>918 1292 4481</t>
  </si>
  <si>
    <t>IIMC365</t>
  </si>
  <si>
    <t>會計，你是否「會」「計」？</t>
  </si>
  <si>
    <t>Career Talk: A Day at CPA Firm</t>
  </si>
  <si>
    <t>At the end of the activity, students will be able to:
1. Familiarise themselves with the job nature, qualifications, opportunities and prospects of the accounting industry;
2. Experience the real work life at an accounting firm; and
3. Enhance the career knowledge and awareness for entering the accounting field.</t>
  </si>
  <si>
    <t>Through the sharing of the speakers, students will understand more about the current development of the accounting industry as well as its job opportunities and prospects. Hence students can equip themselves with necessary skills and knowledge for their future careers.</t>
  </si>
  <si>
    <t>MBG01</t>
  </si>
  <si>
    <t>Canvas</t>
  </si>
  <si>
    <t>President, The Society of Chinese Accountants &amp; Auditors</t>
  </si>
  <si>
    <t>Mr. Andy Tsui</t>
  </si>
  <si>
    <t>IIMC541</t>
  </si>
  <si>
    <t xml:space="preserve">Pre-Internship Training Programme (PTP): Internship Excellence: Safeguard Yourself from Employment Traps </t>
  </si>
  <si>
    <t xml:space="preserve">At the end of the activity, students will be able to:
1. Raise awareness about common employment traps when applying for internships; and
2. Establish safeguarding strategies to protect themselves from potential exploitations or harm in the workplace.
</t>
  </si>
  <si>
    <t>As a compulsory component of the Pre-Internship Training Programme (PTP), this is one of the pre-requisites for students who are applying for internship programmes and/or internship subsidies arranged by OSA to participate in an internship programme.  
Students may face difficult challenges and employment traps when applying for or entering internships.  These traps can be costly financially, emotionally, or physically to students' wellbeing.  This workshop will cover different employment traps and highlight students' awareness on these potential traps.  Through this workshop, students will be equipped with strategies to safeguard themselves from potential exploitations or harm in the workplace.</t>
  </si>
  <si>
    <t>SEKG03</t>
  </si>
  <si>
    <t>Wangchuk</t>
  </si>
  <si>
    <t>SONAM</t>
  </si>
  <si>
    <t>Co-Founder &amp; Director, Stargazers Consulting</t>
  </si>
  <si>
    <t>IIMC542</t>
  </si>
  <si>
    <t xml:space="preserve">Pre-Internship Training Programme (PTP): Internship Excellence: Work Ethics and Integrity </t>
  </si>
  <si>
    <t xml:space="preserve">At the end of the activity, students will be able to:
1. Understand the importance of work ethics and integrity; and
2. Instil the right ethical mindset, professional behaviour, responsibility and accountability in the workplace.
</t>
  </si>
  <si>
    <t xml:space="preserve">As a compulsory component of the Pre-Internship Training Programme (PTP), this is one of the pre-requisites for students who are applying for internship programmes and/or internship subsidies arranged by OSA to participate in an internship programme. 
In this workshop, students will learn the importance of work ethics and integrity in the workplace setting.  Through case studies, experience sharing and fictive scenarios, students will be guided to develop their professional judgement, ethical mindset, professional behaviour and accountability in the workplace.  
</t>
  </si>
  <si>
    <t>IIMC764</t>
  </si>
  <si>
    <t>II</t>
  </si>
  <si>
    <t>The whole idea of Toastmasters Training is to develop students' English speaking skills effectively through delivering prepared and impromptu speeches in front of groups and by working with others in a supportive atmosphere. Participants are also involved in providing feedback and evaluation to one another's presentation. Students who are keen to acquire further qualifications in public speaking and leadership can join the Lingnan University Toastmasters Club as an international member, joining speech contests and workshops, and continue to work on personal and professional development through the Toastmasters education program: the Toastmasters Pathways learning experience.</t>
  </si>
  <si>
    <t>ZOOM</t>
  </si>
  <si>
    <t>https://lingnan.zoom.us/j/97235442153?pwd=gItJuy4evBrHtpOj7sLxDVPo1bY5hx.1</t>
  </si>
  <si>
    <t>972 3544 2153</t>
  </si>
  <si>
    <t>IIMC538</t>
  </si>
  <si>
    <t>Pre-Internship Training Programme (PTP): Internship Application: CV writing (creating a LinkedIn Profile)</t>
  </si>
  <si>
    <t>At the end of the program, students will be able to:
1. Understand the importance of creating a LinkedIn profile in job hunting and networking and creating a presentable CV;
2. Acquire skills in handling interviews, no matter face-to-face or using online mode;
3. Familiarise with interview format using case analysis; 
4. Acquire knowledge of business etiquette and business practices; and
5. Acquire skills and fundamental knowledge of writing good and presentable business emails.</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</si>
  <si>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the basic requirements for compiling a presentable CV for internships and have an introduction on how a LinkedIn profile can benefit in job hunting and networking.</t>
  </si>
  <si>
    <t>LCH209</t>
  </si>
  <si>
    <t>IIMC539</t>
  </si>
  <si>
    <t xml:space="preserve">Pre-Internship Training Programme (PTP): Interview Preparation - Responding to Interview Questions </t>
  </si>
  <si>
    <t>At the end of the activity, students will be able to:
1. Acquire skills in handling interview questions, no matter face-to-face or using online mode; and
2. Understand the required business etiquette when attending interview both online and offline</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</si>
  <si>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how to prepare and tackle interview questions and the business etiquette to observe when attending interviews online / offline.</t>
  </si>
  <si>
    <t>IIMC771</t>
  </si>
  <si>
    <t>剖析大灣區及南沙最新青年新機遇</t>
  </si>
  <si>
    <t>Navigating New Youth Development Opportunities in the Greater Bay Area (Nansha)</t>
  </si>
  <si>
    <t>At the end of the activity, students will be able to:
1. Understand the latest developments and policy initiatives in the Greater Bay Area (GBA); and
2. Identify education, internship, employment, and entrepreneurial opportunities available to young people in the GBA.</t>
  </si>
  <si>
    <t>This workshop will provide participants with an overview of the latest youth-focused initiatives, career prospects, internship programmes, and entrepreneurial opportunities across the GBA.  Through expert insights and practical guidance, students will gain a deeper understanding of the region's development landscape and learn how to leverage available resources to enhance their career readiness and broaden their future prospects.</t>
  </si>
  <si>
    <t>IIMC545</t>
  </si>
  <si>
    <t>Career Talk: SDG Series - Career Opportunities and The Application of ESG (Environmental, Social, Governance) in Business/ Green &amp; Sustainable Finance</t>
  </si>
  <si>
    <t>At the end of the activity, students will be able to:
1. Understand the concepts and development of ESG;
2. Know how the ESG has impacts on the business sector/ Green Finance Industry;
3. Grasp the career opportunities in the business/ green finance job market; and
4. Know how to equip themselves with ESG skills and knowledge for careers in the business/ green finance field.</t>
  </si>
  <si>
    <t>Through the sharing of the speakers, students will understand more about the concepts and development of the ESG (Environmental, Social, Governance), especially its impacts on the Business Green and Sustainable Finance Industry. The related job market trends will also be shared with students. Hence students could equip themselves with necessary ESG skills and knowledge for future careers.</t>
  </si>
  <si>
    <t>https://lingnan.zoom.us/j/92895329217?pwd=6OsI4svCXfxgeWybg6NkGOhSh53uUh.1</t>
  </si>
  <si>
    <t>928 9532 9217</t>
  </si>
  <si>
    <t>IIMC548</t>
  </si>
  <si>
    <t>Alumni Sharing: Recruitment Process and Interview Tips for Government Executive Officer/Related Officers</t>
  </si>
  <si>
    <t xml:space="preserve">At the end of the event, students will be able to:
1. Describe the recruitment process for Government Executive Officer and Related Officers;
2. Understand the selection requirements including the written test and interview for such posts; and
3. Know how to prepare for the government job applications. </t>
  </si>
  <si>
    <t>Through the event, students will familiarize themselves with the recruitment process for Government Executive Officer and Related Officers, understand the selection criteria, which includes written tests and interviews, and gain the necessary strategies to prepare for government job applications in these positions.</t>
  </si>
  <si>
    <t>LBYG01</t>
  </si>
  <si>
    <t>Ken</t>
  </si>
  <si>
    <t>FAN</t>
  </si>
  <si>
    <t>Former HKSAR Government Officer</t>
  </si>
  <si>
    <t>IIMC192</t>
  </si>
  <si>
    <t>實用面試技巧與策略</t>
  </si>
  <si>
    <t>CEP Workshop: Practical Interview Skills &amp; Strategies for High-end Job seekers</t>
  </si>
  <si>
    <t>At the end of the seminar, students will be able to:
1. Describe the interview questions commonly and frequently asked by current employers during recruitment process;
2. Grasp and apply related skills/techniques on how to deal with such job interviews; and
3. Better prepare for future job hunting.</t>
  </si>
  <si>
    <t>Through the sharing of professional HR consultant, students would familiarize themselves with updated approaches and questions frequently adopted by current prominent/big companies during job interviews. The consultant would also share with students the essential interview techniques and skills so as to sharpen their competitive edge. Hence the event could benefit students a lot for their career preparation and job hunting.</t>
  </si>
  <si>
    <t>https://lingnan.zoom.us/j/99623286931?pwd=mba3rieD0odYwWITstzyhFaVLbXZy2.1</t>
  </si>
  <si>
    <t>996 2328 6931</t>
  </si>
  <si>
    <t>IIMC772</t>
  </si>
  <si>
    <t>從大學到銀行金融業：僱主眼中的理想人才</t>
  </si>
  <si>
    <t>From University to Banking &amp; Finance – What Employers Really Look For</t>
  </si>
  <si>
    <t>At the end of the activity, students will be able to:
1. Understand the career opportunities, recruitment trends, and development prospects in the banking and finance industry;
2. Gain insights into the qualities, competencies, and attributes that banking and finance employers value when selecting graduate talents; and
3. Identify strategies to prepare for a successful transition into the banking and finance profession by showcasing your strengths and achievements through professional profiles.</t>
  </si>
  <si>
    <t>Transitioning from university to the workplace can be challenging, particularly in the competitive banking and finance industry.  Through the sharing of an experienced banking professional, students will gain valuable insights into career opportunities, recruitment trends, and employer expectations in Hong Kong and the Greater Bay Area.
The seminar will explore the qualities, skills, and attributes that employers seek beyond academic results, as well as common misconceptions about banking and finance careers.  Students will also learn practical tips on how to effectively present their experiences, achievements, and strengths through CVs and professional profiles.  Drawing on real-life hiring and management experience, the speaker will share valuable advice to help students prepare for a successful transition into the banking and finance profession.</t>
  </si>
  <si>
    <t>Flora</t>
  </si>
  <si>
    <t>LEUNG</t>
  </si>
  <si>
    <t>Seasoned senior banking executive with extensive experience in HK and Greater China; 
Former Head of Retail Banking and Wealth Management ; 
Core member of the Banking Industry Training Advisory Committee under the Education Bureau</t>
  </si>
  <si>
    <t>IIMC359</t>
  </si>
  <si>
    <t>拆解「評鑑中心」考核之迷工作坊</t>
  </si>
  <si>
    <t>Career Workshop: Essential Tips for Assessment Centre/Activity-based Assessment/Group Discussion/Case Studies</t>
  </si>
  <si>
    <t>At the end of the workshop, students are able to:
1. Describe the speaker’s sharing about the assessment centre for job selection process; 
2. Understand the strategies and techniques of tackling the assessment centre; and
3. Enhance their skills and performance in assessment centre.</t>
  </si>
  <si>
    <t>In this workshop, the guest speaker will focus on the style, format and questions frequently used by current employers in the assessment centre during the job selection process. He will also familiarize students with effective ways and strategies to handle such questions as well as assessment centre so as to gain the promising results and achieve success in the recruitment process. Hence students could make use of the knowledge and skills learned to perform well in upcoming assessment centre and win the preferred job offers.</t>
  </si>
  <si>
    <t>https://lingnan.zoom.us/j/99373823397?pwd=ro0M3Da9fADBLlPpX16Dj0YBL1bbFz.1</t>
  </si>
  <si>
    <t>993 7382 3397</t>
  </si>
  <si>
    <t>IIMC765</t>
  </si>
  <si>
    <t>III</t>
  </si>
  <si>
    <t>IIMC540</t>
  </si>
  <si>
    <t>Pre-Internship Training Programme (PTP): Interview Preparation - Introduction to Case Analysis</t>
  </si>
  <si>
    <t>At the end of the activity, students will be able to:
1. Acquire the basic skills in how to handle a case analysis question during interviews; and
2. Understand how to read, analyze and then identify and present solutions in a case presentation.</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</si>
  <si>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how to read and analyse a case, and then identify the issues or problems that need to tackle, and then propose solutions for presentation in an interview that requires the candidate to perform case analysis.</t>
  </si>
  <si>
    <t>IIMC256</t>
  </si>
  <si>
    <t>Pre-Internship Training Programme (PTP): Internship Excellence - Business Practices</t>
  </si>
  <si>
    <t>At the end of the activity, students will be able to:
1. Better prepare for their first week of their internship journey; and
2. Understand the business etiquette and practices to avoid making mistakes and leaving a good impression.</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</si>
  <si>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understand and learn how to have a good start of their internship journey through better preparation and the understanding of good business etiquette, and business practices. The workshop will also cover common mistakes made by interns and will teach students ways to avoid them and to make the best out of an internship.</t>
  </si>
  <si>
    <t>IIMC760</t>
  </si>
  <si>
    <t>港漂求職指南：內地生如何跨越中港職場文化鴻溝</t>
  </si>
  <si>
    <t>Hong Kong Drifters’ Job Hunting Guide: How Mainland Students Cross the Mainland-HK Workplace Culture Gap</t>
  </si>
  <si>
    <t>At the end of the event, students will be able to:
1.	Understand the nuances of Hong Kong workplace culture;
2.	Acquire job-seeking skills specific to the Hong Kong job market; and
3.	Develop effective intercultural communication for career success.</t>
  </si>
  <si>
    <t>The event will empower Mainland Chinese students to navigate the complexities of the Hong Kong job market, offering practical insights to bridge cultural gaps and enhance employability in Hong Kong.</t>
  </si>
  <si>
    <t>At the end of the activity, students will be able to:
1. Raise awareness about common employment traps when applying for internships; and
2. Establish safeguarding strategies to protect themselves from potential exploitations or harm in the workplace.</t>
  </si>
  <si>
    <t>IIMC536</t>
  </si>
  <si>
    <t>如何掌握個人／小組面試技巧工作坊</t>
  </si>
  <si>
    <t>Career Workshop: Powerful Individual/Group Interview Skills</t>
  </si>
  <si>
    <t>At the end of the activity, students will be able to:
1.  Describe the necessary preparation for job interviews; 
2.  Understand the techniques to tackle common and tough questions during job interviews; and
3.  Enhance the skills in coping with job interviews.</t>
  </si>
  <si>
    <t>In this event, the guest speaker will share with students how to better prepare for job interviews which are commonly used by employers nowadays. The speaker will also provide students with invaluable techniques/advice on answering questions with confidence, so as to facilitate students standing out from others during the selection process.</t>
  </si>
  <si>
    <t>https://lingnan.zoom.us/j/91944514861?pwd=RHeAaEwCvpwaxLFUyEd1SNZtMAenYJ.1</t>
  </si>
  <si>
    <t>919 4451 4861</t>
  </si>
  <si>
    <t>IIMC768</t>
  </si>
  <si>
    <t xml:space="preserve">玩具精品行業企業家成功之路 </t>
  </si>
  <si>
    <t>The Road to Success: Entrepreneurship in the Toy &amp; Collectibles Industry</t>
  </si>
  <si>
    <t>At the end of the activity, students will be able to:
1. Understand the key factors behind a successful story in the toy and collectibles industry;
2. Explore career and entrepreneurship opportunities within the creative consumer products sector;and
3. Network with industry leader.</t>
  </si>
  <si>
    <t>In this workshop, students will hear firsthand from a successful entrepreneur in the toy and collectibles industry about their journey from concept to commercial success.  The session will explore industry trends, business challenges, and key strategies for building a brand in a competitive market.  Students will gain valuable insights into entrepreneurship, innovation, and the opportunities available within the creative consumer products sector.</t>
  </si>
  <si>
    <t>IIMC361</t>
  </si>
  <si>
    <t>有效視像及電話面試技巧工作坊</t>
  </si>
  <si>
    <t>Career Workshop: Effective Video/Phone Interview Skills</t>
  </si>
  <si>
    <t>At the end of the workshop, students are able to:
1.  Describe the necessary preparation for video/phone job interviews; 
2.  Understand the techniques to tackle common and tough questions during video/phone interviews; and
3.  Enhance the skills in coping with video/phone interviews.</t>
  </si>
  <si>
    <t>In this event, the guest speaker will share with students how to better prepare for video/phone job interviews which are commonly used by employers nowadays. The speaker will also provide students with invaluable techniques/advice on answering questions with confidence, so as to facilitate students standing out from others during the selection process.</t>
  </si>
  <si>
    <t>https://lingnan.zoom.us/j/92926318472?pwd=a7zaHVCFJ02ldjpRZcRpjD5mMHND6k.1</t>
  </si>
  <si>
    <t>929 2631 8472</t>
  </si>
  <si>
    <t>IIMC032</t>
  </si>
  <si>
    <t>教育專業與資格專題講座</t>
  </si>
  <si>
    <t>Career Talk: Teaching Profession and Qualifications in Hong Kong</t>
  </si>
  <si>
    <t>At the end of the talk, students are able to:
1. Familiarise themselves with the job nature, qualifications, opportunities and prospects of the teaching profession; 
2. Understand the application procedure and requirements for Cert. Ed./Dip. Ed.; and
3. Enhance the career knowledge and awareness for entering the teaching field.</t>
  </si>
  <si>
    <t>In this talk, the guest speaker will share with students about the job nature, career opportunities and prospects of the teaching profession in primary and secondary schools. He will also advise students on the professional qualification required and how to prepare for the Cert. Ed. / Dip. Ed. Application as well as being a teacher! The ultimate goal is to help students enter the teaching field especially in the keen employment market.</t>
  </si>
  <si>
    <t>Man Kit, Jacky</t>
  </si>
  <si>
    <t xml:space="preserve">Principal </t>
  </si>
  <si>
    <t>IIMC546</t>
  </si>
  <si>
    <t>Financial Planning cum MPF Workshop</t>
  </si>
  <si>
    <t>At the end of the activity, students will be able to:
1. Learn the importance of financial planning during university life;
2. Understand basic concept of financial planning; and
3. Get information of MPF.</t>
  </si>
  <si>
    <t>This workshop will introduce basic financial planning concept to students. They will also teach students how to choose investment plan suitable for them.</t>
  </si>
  <si>
    <t>Fri</t>
  </si>
  <si>
    <t>LCH105</t>
  </si>
  <si>
    <t>Speaker invited by Mandatory Provident Fund Schemes Authority (MPFA)</t>
  </si>
  <si>
    <t>IIMC766</t>
  </si>
  <si>
    <t xml:space="preserve">IV </t>
  </si>
  <si>
    <t>IED</t>
  </si>
  <si>
    <t>https://lingnan.zoom.us/j/96191303228?pwd=diVqolJvsliMm0fd7ezr2FvnjtPnOt.1</t>
  </si>
  <si>
    <t>961 9130 3228</t>
  </si>
  <si>
    <t>IIMC017</t>
  </si>
  <si>
    <t xml:space="preserve">就業探索與規劃 -
TTI DISC人才洞悉測試分析工作坊
</t>
  </si>
  <si>
    <t>Career Workshop: Applying TTI DISC Assessment to Your Career Exploration &amp; Planning</t>
  </si>
  <si>
    <t>At the end of the workshop, students are able to:
1. Understand more about their behaviours and motivations that drive their actions, career interests and inclinations;
2. Start planning their own career goal; and
3. Better prepare for their future careers.</t>
  </si>
  <si>
    <t>Participants will need to take the TTI DISC assessment before class.  The trainer will then interpret the assessment results and allow students to understand more about their behaviour and the motivation of their actions.  Through self-understanding, the trainer will guide students to consider their career interests and planning for the next stage.</t>
  </si>
  <si>
    <t>LKK206</t>
  </si>
  <si>
    <t>Angie</t>
  </si>
  <si>
    <t>- Student Affairs Manager, OSA; 
- Certified Professional Behavioral and Driving Forces Analyst;
- Certified Career Services Provider TM; 
- Global Career Development Facilitator</t>
  </si>
  <si>
    <t>Ms. Elaine Tsang</t>
  </si>
  <si>
    <t>tsangyl@ln.edu.hk</t>
  </si>
  <si>
    <t>IIMC770</t>
  </si>
  <si>
    <t>了解社會企業長者服務及機遇</t>
  </si>
  <si>
    <t>An Introduction to Social Entrepreneurship in Elderly Care</t>
  </si>
  <si>
    <t>At the end of the activity, students will be able to:
1. Understand the role of social enterprises in addressing the needs of an ageing population; and
2. Identify career pathways and opportunities within the elderly care and social enterprise sectors.</t>
  </si>
  <si>
    <t>This workshop will introduce the role of social enterprises in addressing the challenges and opportunities associated with ageing communities.  Through industry insights and real-world examples, students will learn how social entrepreneurship combines business innovation with social impact to deliver meaningful elderly care services.  The session will also explore career opportunities in the sector and inspire participants to consider how they can contribute to creating positive social change.</t>
  </si>
  <si>
    <t>IIMC775</t>
  </si>
  <si>
    <t>小組面試致勝策略：自信表達與團隊協作</t>
  </si>
  <si>
    <t>Group Interview Mastery: Confident Communication and Team Collaboration</t>
  </si>
  <si>
    <t>At the end of the activity, students will be able to:
1. Communicate ideas clearly and confidently in group interviews while demonstrating strong teamwork;
2. Overcome nervousness and learn how to contribute meaningfully without dominating the discussion; and
3. Apply practical strategies to handle different group interview formats and dynamic situations.</t>
  </si>
  <si>
    <t>Led by a professional Public Speaking and Communication Coach, this practical workshop is designed to help students master group interviews commonly used by employers. Participants will learn techniques for active listening, effective speaking, and standing out naturally in team discussions. Through multiple rounds of simulated exercises and immediate feedback, students will significantly improve their on-the-spot performance and confidence.
This workshop helps students turn group interviews into opportunities to showcase both their individual strengths and teamwork abilities, effectively enhancing their job-seeking competitiveness and career readiness.</t>
  </si>
  <si>
    <t>SEK206</t>
  </si>
  <si>
    <t>IIMC364</t>
  </si>
  <si>
    <t>求職面試之專業形象及商務禮儀</t>
  </si>
  <si>
    <t>CEP Workshop: Professional Image &amp; Business Etiquette for Job Interviews</t>
  </si>
  <si>
    <t>At the end of the workshop, students will be able to:
1. Describe the appropriate professional image/appearance for Job Interviews; 
2. Understand the proper dress code and business etiquette for job interviews; 
3. Grasp the related skills and knowledge for job hunting; and
4. Perform well and impress prospective employers during interviews.</t>
  </si>
  <si>
    <t>Based on the professional knowledge and profound experience, the trainer will familiarize students with appropriate image, appearance as well as etiquette and social manners for job interviews. He will also share with students the examples on how to achieve the above so as to enhance the employability. This workshop would certainly be beneficial to students’ job hunting especially during the current critical moment.</t>
  </si>
  <si>
    <t>LYH317</t>
  </si>
  <si>
    <t>Allan</t>
  </si>
  <si>
    <t>LEE</t>
  </si>
  <si>
    <t>Bright Solutions</t>
  </si>
  <si>
    <t>IIMC762</t>
  </si>
  <si>
    <t>Building Your First CV</t>
  </si>
  <si>
    <t>At the end of the activity, students will be able to:
1. Identify the key components of an effective CV;
2. Understand common mistakes on CV writing; and
3. Create a professional CV for job hunting</t>
  </si>
  <si>
    <t>This workshop will guide participants through the fundamentals of creating a professional and effective CV from scratch.  Participants will learn how to showcase their education, experiences, skills, and achievements in a clear and compelling format, as well as how to tailor their CV for internships, part-time jobs, and graduate opportunities.  By the end of the session, you will have the knowledge and confidence to develop a CV that makes a strong first impression on employers.</t>
  </si>
  <si>
    <t>Speaker invited by The Hong Kong Federation of Youth Groups (HKFYG)</t>
  </si>
  <si>
    <t>IIMC767</t>
  </si>
  <si>
    <t>V (NEW)</t>
  </si>
  <si>
    <t>01/09/2026 till end of Term 1</t>
  </si>
  <si>
    <t>IIMC665</t>
  </si>
  <si>
    <t>Pre-Internship Training Programme (PTP):
via LinkedIn Learning:
a). Tips for Writing Business Emails
b). Video Interview Tips</t>
  </si>
  <si>
    <t>At the end of the programme, students will be able to:
1. Learn the essentials in writing proper and presentable business emails; and 
2. Acquire tips in performing better during video interviews.</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</si>
  <si>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Through LinkedIn Learning, students will watch and learn through two 30-minute short videos, namely “Tips for Writing Business Emails” and “Video Interview Tips”, to get a better grasp of writing presentable and efficient business emails and handling interviews online. LinkedIn certificates will be generated and for students download after completion of both videos.</t>
  </si>
  <si>
    <t>LinkedIn Learning</t>
  </si>
  <si>
    <t>Life Design for Work</t>
  </si>
  <si>
    <t>At the end of the activity, students will be able to:
1. Understand personal interest and ability; and 
2. Design a unique career path.</t>
  </si>
  <si>
    <t>Through activity and discussion, the workshop will guide participants to discover own interests, strengths, and values, and design a personalised career journey.</t>
  </si>
  <si>
    <t>22 Oct 26/ 23 Oct 2026</t>
  </si>
  <si>
    <t>IIMC776</t>
  </si>
  <si>
    <t>Counselling &amp; Support for SEN Students</t>
  </si>
  <si>
    <t>沿途友你</t>
  </si>
  <si>
    <t>By Your Side</t>
  </si>
  <si>
    <t>掌握溝通技巧 (大學生活篇)</t>
  </si>
  <si>
    <t>Effective Communication at University Life</t>
  </si>
  <si>
    <t>At the end of the activity, students will be able to:
1. Enhance their communication skills in the context of student hostel life and group projects;
2. Build confidence in interpersonal relationships; and
3. Learn the importance of active listening and respecting individuals with different opinions.</t>
  </si>
  <si>
    <t>Enhancing communication skills and building confidence enables students to integrate more seamlessly into various social groups and dormitory life, thereby enriching their overall educational experience. Additionally, these skills foster empathy and cultural awareness, preparing students for diverse hostel environments.</t>
  </si>
  <si>
    <t>zoom</t>
  </si>
  <si>
    <t>CareER</t>
  </si>
  <si>
    <t>https://lingnan.zoom.us/j/94670717743?pwd=8iXL5HKyCZqvkmLlOyfHTg2ucps85i.1</t>
  </si>
  <si>
    <t>946 7071 7743</t>
  </si>
  <si>
    <t>Amy Chan</t>
  </si>
  <si>
    <t>amychan3@ln.edu.hk</t>
  </si>
  <si>
    <t>Kyle Kwok</t>
  </si>
  <si>
    <t>kylekwok@LN.edu.hk</t>
  </si>
  <si>
    <t>IIMC777</t>
  </si>
  <si>
    <t>認識特殊教育需要101</t>
  </si>
  <si>
    <t>SEN 101</t>
  </si>
  <si>
    <t>基礎手語証書課程</t>
  </si>
  <si>
    <t>Certificate Course in Basic Sign Language</t>
  </si>
  <si>
    <t>At the end of the activity, students will be able to:
1. Recognise and interpret basic signs in everyday conversations;
2. Understand and use basic sign language vocabulary and common phrases;
3. Demonstrate improved awareness and sensitivity towards the Deaf community; and
4. Apply basic sign language skills in practical, real-life situations</t>
  </si>
  <si>
    <t>This course offers an introduction to the fundamentals of sign language, designed for beginners who wish to develop effective communication skills with the deaf and hard-of-hearing community. Through interactive lessons, participants will learn essential vocabulary, common phrases, and basic grammar structures of sign language. The course emphasizes practical usage, enabling learners to confidently engage in everyday conversations. Upon completion, participants will receive a certificate, validating their proficiency in basic sign language and enhancing their ability to promote inclusivity and accessibility in various settings.</t>
  </si>
  <si>
    <t>Course-based (Consecutive Lessons)</t>
  </si>
  <si>
    <t>LYH 209</t>
  </si>
  <si>
    <t>Brainfood
Limited</t>
  </si>
  <si>
    <t>Jessica Li</t>
  </si>
  <si>
    <t>jessicali@ln.edu.hk</t>
  </si>
  <si>
    <t>IIMC778</t>
  </si>
  <si>
    <t>SEN-Shine 實習支援計劃</t>
  </si>
  <si>
    <t>SEN-Shine</t>
  </si>
  <si>
    <t>商務寫作溝通</t>
  </si>
  <si>
    <t>Business Communication through Writing</t>
  </si>
  <si>
    <t>At the end of the activity, students will be able to:
1. Compose clear, concise, and professional business documents;
2. Apply appropriate tone and style for various business contexts; and
3. Edit and proofread written communication for accuracy and clarity.</t>
  </si>
  <si>
    <t>This course focuses on developing effective written communication skills essential for the modern workplace. Participants will learn how to craft clear, concise, and professional business documents, including emails, reports, proposals, and memos. Emphasis is placed on proper tone, structure, grammar, and formatting to ensure messages are impactful and easily understood. Through practical exercises and real-world examples, learners will gain confidence in conveying ideas, facilitating collaboration, and enhancing organizational communication. This course is ideal for anyone looking to improve their business writing abilities and achieve greater success in their professional interactions.</t>
  </si>
  <si>
    <t>Cassiel</t>
  </si>
  <si>
    <t>https://lingnan.zoom.us/meeting/register/ZBjLQOM5TG6JpG-1h6FzEw</t>
  </si>
  <si>
    <t>967 4209 6825</t>
  </si>
  <si>
    <t>IIMC779</t>
  </si>
  <si>
    <t>商務英語 - 口語達人</t>
  </si>
  <si>
    <t>Business English - Say It Like a Pro</t>
  </si>
  <si>
    <t>At the end of the activity, students will be able to:
1. Communicate confidently and professionally in various business contexts;
2. Use appropriate vocabulary and expressions to convey ideas clearly; and
3. Respond effectively to common workplace scenarios and inquiries.</t>
  </si>
  <si>
    <t xml:space="preserve">It is a comprehensive course designed to enhance the participants professional communication skills in the workplace. This program focuses on developing clear, confident, and effective English language abilities tailored for business settings. The participants will learn how to express themself with precision and professionalism. </t>
  </si>
  <si>
    <t>https://lingnan.zoom.us/j/99027304902?pwd=9btjFnScYuDU2JQ3vYETm6y8HCwJbb.1</t>
  </si>
  <si>
    <t>990 2730 4902</t>
  </si>
  <si>
    <t>IIMC780</t>
  </si>
  <si>
    <t>個人色彩分析</t>
  </si>
  <si>
    <t>Personal Colour Analysis</t>
  </si>
  <si>
    <t>At the end of the activity, students will be able to:
1. Understand the basic principles of personal colour analysis and seasonal colour theory.
2. Identify their own personal colour characteristics and how colours affect personal appearance and confidence.
3. Apply colour knowledge to daily styling choices, such as clothing, accessories, or personal presentation.</t>
  </si>
  <si>
    <t>This activity introduces participants to the fundamentals of personal colour analysis, focusing on how different colours interact with individual features. Through guided analysis and demonstrations, students will learn to identify colours that complement their personal characteristics. The session aims to enhance self-awareness, confidence, and practical application of colour theory in everyday presentation.</t>
  </si>
  <si>
    <t>Ms</t>
  </si>
  <si>
    <t>Chloe</t>
  </si>
  <si>
    <t>LOK</t>
  </si>
  <si>
    <t>ClinColour</t>
  </si>
  <si>
    <t>IIMC781</t>
  </si>
  <si>
    <t>解碼個人品格強項</t>
  </si>
  <si>
    <t>Character strength for navigating your U-life</t>
  </si>
  <si>
    <t>At the end of the activity, students will be able to:
1. Gain a deeper understanding of their personal character strength assessment results;
2. Explore ways to apply their individual strengths effectively in daily life and university experiences; and
3. Set clear goals and directions for developing and leveraging their character strengths.</t>
  </si>
  <si>
    <t>This workshop helps students discover their unique character strengths to successfully navigate the ups and downs of university life. It guides students in identifying and cultivating their core strengths, enabling them to build resilience, manage stress, and make confident decisions. Through interactive activities and practical strategies, participants will learn how to leverage their personal qualities to enhance their well-being, academic performance, and social relationships.</t>
  </si>
  <si>
    <t xml:space="preserve">
APPHK</t>
  </si>
  <si>
    <t>IIMC759</t>
  </si>
  <si>
    <t>CPO</t>
  </si>
  <si>
    <t>“Build to Grow” A LEGO® Workshop on Identity, Reflection and Renewal</t>
  </si>
  <si>
    <t>At the end of the activity, students will be able to:
1. Understand the 3R framework: Realise, Receive, and Renew as a model for personal growth;
2. Recognise their own personality preferences and strengths using LEGO® Bricks and MBTI concepts;
3. Develop communication, empathy, and active listening skills through structured building activities; and
4. Strengthen self-awareness and relational understanding within a small group community.</t>
  </si>
  <si>
    <t>In today’s fast-paced, performance-driven environment, opportunities for meaningful reflection and creative expression are often limited. This LEGO® Workshop provides an experiential platform for reflection, communication, and self-discovery. Through the 3R framework — Realise, Receive, Renew — participants build self-awareness, embrace their strengths, and take intentional steps toward growth. Structured activities and guided sharing foster deeper personal insight and stronger community relationships.</t>
  </si>
  <si>
    <t>Samuel</t>
  </si>
  <si>
    <t>NG</t>
  </si>
  <si>
    <t>Christian Counsellor, CPO</t>
  </si>
  <si>
    <t>Mr. Samuel NG</t>
  </si>
  <si>
    <t>samuelng@ln.edu.hk</t>
  </si>
  <si>
    <t>Mrs. Esther NG</t>
  </si>
  <si>
    <t>estherng@ln.edu.hk</t>
  </si>
  <si>
    <t>IIMC744</t>
  </si>
  <si>
    <t>10個你不知道的嶺南大學趣史</t>
    <phoneticPr fontId="16" type="noConversion"/>
  </si>
  <si>
    <t>10 Interesting Stories from Lingnan University’s Past</t>
  </si>
  <si>
    <t>At the end of the activity, students will be able to:
1. Understand the history of Lingnan University in an interesting way;
2.  Strengthen the sense of belonging with the University; and
3. Broaden its horizon intellectually.</t>
  </si>
  <si>
    <t>This lecture takes the history of Lingnan University in Guangzhou as a starting point to share 10 historical anecdotes from "this day in history." For example: "Did Lingnan University really have a Department of Agriculture?", "Were the Founding Father Sun Yat-sen and the former president actually close friends?", "Who on earth is the Lee Ying-lam mentioned in the Lee Ying-lam Auditorium?", "Why is the Lingnan Stadium located at Chung Chi College of The Chinese University of Hong Kong?", "Was Lingnan University originally a Christian university associated with missionaries?", "Did Lingnan University actually have a School of Divinity?", "Is the Lingnan University emblem related to the Book of Psalms?", "Were revolutionaries in the late Qing Dynasty former Lingnan students?", and "Was Lingnan University a pioneer in equal admission for women?". Through these fascinating historical angles, we hope to give Lingnan students a deeper understanding of the university's past.</t>
  </si>
  <si>
    <t>N</t>
    <phoneticPr fontId="16" type="noConversion"/>
  </si>
  <si>
    <t>Chapel</t>
    <phoneticPr fontId="16" type="noConversion"/>
  </si>
  <si>
    <t>Siu Hang</t>
    <phoneticPr fontId="16" type="noConversion"/>
  </si>
  <si>
    <t>LAU</t>
    <phoneticPr fontId="16" type="noConversion"/>
  </si>
  <si>
    <t>President, Lingnan University Christian Alumni Association</t>
    <phoneticPr fontId="16" type="noConversion"/>
  </si>
  <si>
    <t>Ms. Miffy AU</t>
  </si>
  <si>
    <t>chaplain@ln.edu.hk</t>
    <phoneticPr fontId="16" type="noConversion"/>
  </si>
  <si>
    <t>Rev. Martin TANG</t>
  </si>
  <si>
    <t>kuikintang@ln.edu.hk</t>
    <phoneticPr fontId="16" type="noConversion"/>
  </si>
  <si>
    <t>IIMC746</t>
  </si>
  <si>
    <t>是怎樣的「基爾高黌序」：重探廣州嶺南大學與基督宗教的關係</t>
    <phoneticPr fontId="16" type="noConversion"/>
  </si>
  <si>
    <t>What Kind of Christian College: Reassessing Lingnan University's Relationship with Christianity in Canton</t>
  </si>
  <si>
    <t>At the end of the activity, students will be able to:
1. Understand the history of Lingnan University in an interesting way; 
2.  Strengthen the sense of belonging with the University; and
3. Broaden its horizon intellectually.</t>
  </si>
  <si>
    <t>Returning to historical archives, this lecture re-examines the establishment and development of Lingnan University in Guangzhou from 1888 to 1927 (the period prior to its handover to Chinese leadership) through the lens of religious studies. The author deeply analyzes how this Christian university transcended denominational and missionary boundaries, demonstrating a unique campus evangelical mission and social concern within a global cosmopolitan support network. Additionally, the lecture explores stories of some prominent Lingnan leaders, exploring how they throughout history embodied the Lingnan spirit and practiced a localized faith amid meaningful transformations. This lecture is not only about Lingnan's university history and key figures, but also a renewed inquiry into the identity of contemporary Chinese Christian universities.</t>
  </si>
  <si>
    <t>CPO</t>
    <phoneticPr fontId="16" type="noConversion"/>
  </si>
  <si>
    <t xml:space="preserve">What Kind of Christian College: Reassessing Lingnan University's Relationship with Christianity in Canton </t>
  </si>
  <si>
    <t>At the end of the activity, students (especially those without an international background) will be able to:
1. Understand the history of Lingnan University in an interesting way;
2. Strengthen the sense of belonging with the University; and
3. Broaden its horizon intellectually on the history of China.</t>
  </si>
  <si>
    <t>IIMC752</t>
  </si>
  <si>
    <t>探物求知: 標本與生物多樣性</t>
  </si>
  <si>
    <t>Exploring the Museum: Specimen and Biodiviersity Observation</t>
  </si>
  <si>
    <t>At the end of the activity, students will be able to:
1. Learn the basic techniques of observing species and specimen under professional guidance of scientific tools;
2.  Enrich the knowledge of biological science and see different animals up close; and
3. Have a taste of "scientist" workday and witness the "behind-the-scene" of all precious specimens.</t>
  </si>
  <si>
    <t xml:space="preserve">Watch Out! Is that dinosaur? Look closely, that is just an evoluntionary cousins of dinosaur. 
This is a place where you meet the history and presence of natural biology. This is the"Jurassic Park" of Hong Kong, the HK Biodiversity Museum, a one-of-a-kind collection of natural heritage in Hong Kong. The visit will comprise a guided tour on species that you haven't thought of, for example, jellyfish that lives upside-down, the starfish that break their arms when in danger, the coral that looks like brain. You will also experience hands-on microscoping. 
Explore the hidden treasure curated by different biologists! No scence background is needed for the session. Round trip shuttle will be arranged from Lingnan Campus. </t>
  </si>
  <si>
    <t xml:space="preserve"> Hong Kong Biodiversity Museum</t>
  </si>
  <si>
    <t>Representative of Hong Kong Biodiversity Museum</t>
  </si>
  <si>
    <t>IIMC153</t>
  </si>
  <si>
    <t>Library</t>
  </si>
  <si>
    <t xml:space="preserve">Welcome to Your Library! Get Started in the Library </t>
  </si>
  <si>
    <t>At the end of the activity, students will be able to:
1. Access the essential Library services and facilities to support you throughout your university journey;
2. Explore diverse types of resources and tools available within and beyond the Library; and
3. Find useful tips and troubleshooting guides online – so you can solve problems on your own like a pro.</t>
  </si>
  <si>
    <t xml:space="preserve">As a freshman at Lingnan, the Library is your go-to place to study productively and chill between classes. Useful information, creative ideas, academic theories, and interesting buddies can all be found in the Library. The workshop will help you to get familiarised with the essential Library services and facilities. </t>
  </si>
  <si>
    <t>Computer Room 1, Library</t>
  </si>
  <si>
    <t>Miss</t>
  </si>
  <si>
    <t>Renee</t>
  </si>
  <si>
    <t>MA</t>
  </si>
  <si>
    <t>Library Officer</t>
  </si>
  <si>
    <t>Hanna HUANG</t>
  </si>
  <si>
    <t>shanghuang@ln.edu.hk</t>
  </si>
  <si>
    <t>Race KU</t>
  </si>
  <si>
    <t>racekuku@ln.edu.hk</t>
  </si>
  <si>
    <t>IIMC747</t>
  </si>
  <si>
    <t>Don't Believe Everything You Read - Learn to Fact-Check</t>
  </si>
  <si>
    <t>At the end of the activity, students will be able to:
1. Understand the CRAAP Test (Currency, Relevance, Authority, Accuracy, Purpose) to practise how to verify sources and to recognise common signs of fake news, misleading data, etc.;
2. Use Generative AI tools strategically to help cross-check the information; and
3. Develop the fact-checking skills and the habit to evaluate information before use in your academic work and daily life.</t>
  </si>
  <si>
    <t xml:space="preserve">With AI tools, it is easy for us to find information from diverse sources to support our new ideas. However, facts and possibilities are sometimes combined and hard to distinguish. We have to review and fact-check the sources and the content that Generative AI tools provide with great care. How do you know what to trust? This workshop will showcase practical skills to verify sources and information with both traditional methods and AI-powered cross-checking techniques. </t>
  </si>
  <si>
    <t>Race</t>
  </si>
  <si>
    <t>KU</t>
  </si>
  <si>
    <t>Learning Support and Access Services Manager</t>
  </si>
  <si>
    <t>IIMC748</t>
  </si>
  <si>
    <t>Unlock the Power of Resources - Master Searching from the Library and Beyond</t>
  </si>
  <si>
    <t>At the end of the activity, students will be able to:
1. Search and discover the academic resources via Library's 1-Search with GAI powered Research Assistant; and
2. Learn the practical strategies to unlock the full potential of available resources and take your learning to the next level.</t>
  </si>
  <si>
    <t xml:space="preserve"> In today’s fast-paced academic world, everyone is using AI tools. Yet, it's crucial to know where and how to find the right resources. The Library provides a vast collection of resources for your academic needs. This workshop will assist you with essential skills to effectively search for information within and beyond the Library’s vast collection.</t>
  </si>
  <si>
    <t>IIMC749</t>
  </si>
  <si>
    <t>探索中文资源，助力学术研究</t>
  </si>
  <si>
    <t>Discovering Chinese Resources for Your Studies</t>
  </si>
  <si>
    <t>At the end of the activity, students will be able to:
1. Get familiarised with the Library subscribed Chinese databases and applicable scenarios of different types of database resources; 
2. Learn about the practical usage scenarios of Chinese databases;
3. Study how to select suitable resources according to research needs; and
4. Explore more library resources and services.</t>
  </si>
  <si>
    <t>Our Library offers a wealth of Chinese database resources across the humanities, social sciences, and STEM disciplines, meeting diverse academic needs. Explore the Library’s rich Chinese collections and learn how to access the right resources for your subject area.</t>
  </si>
  <si>
    <t>Wai Chung</t>
  </si>
  <si>
    <t>Lecturer, Department of Chinese</t>
  </si>
  <si>
    <t>Hanna</t>
  </si>
  <si>
    <t>HUANG</t>
  </si>
  <si>
    <t>Learning Support Librarian</t>
  </si>
  <si>
    <t>IIMC750</t>
  </si>
  <si>
    <t>Explore Statistical Data Within and Beyond the Library</t>
  </si>
  <si>
    <t>At the end of the activity, students will be able to:
1. Know the popular factual databases under the Library's subscription;
2. Practise searching and accessing the statistical data; and
3. Find more statistical resources beyond the Library.</t>
  </si>
  <si>
    <t>Besides academic articles and journals, there are many other types of resources which will benefit your study. This workshop will walk you through some useful factual databases that collect statistical data. This workshop will walk you through the popular databases that collect statistical data with practical and efficient method.</t>
  </si>
  <si>
    <t>IIMC523</t>
  </si>
  <si>
    <t>Manage Your Research Literature with EndNote</t>
  </si>
  <si>
    <t>At the end of the activity, students will be able to:
1. Learn and practise the fundamental skills to export and import citations from Library's 1-Search, databases, Google Scholar, and other platforms;
2. Understand how to manage the EndNote Library and share it with others; 
3. Use the embedded GAI tool to read and analyse the articles; and
4. Explore the advanced features to connect to Web of Science for citation insights, journal metrics and so on.</t>
  </si>
  <si>
    <t>EndNote is a powerful citation management tool, especially recommended for academic writing. It could store citations in an organised way from different sources, and be managed via a desktop client, an online platform, or a browser add-in. This workshop will introduce EndNote’s essential features for efficient citation management including citation import/export, group sharing, AI-assisted article analysis, and advanced features like Web of Science integration to enhance your academic writing.</t>
  </si>
  <si>
    <t>IIMC751</t>
  </si>
  <si>
    <t>轉廢為瑰：再生玻璃體驗之旅</t>
  </si>
  <si>
    <t>Reimagining Glass Waste: Re-Glass Experience Tour</t>
  </si>
  <si>
    <t>At the end of the activity, students will be able to:
1. Explain the importance of glass recycling and its role in promoting sustainable consumption and a circular economy;
2.  Demonstrate an understanding of how waste glass can be creatively upcycled into new products through hands-on experience with recycled glass art; and
3. Reflect on their individual responsibility in waste reduction and identify practical ways to incorporate sustainable practices into their daily lives.</t>
  </si>
  <si>
    <t>Join us for an experiential learning visit to Re-Glass Lab, where students will explore the journey of glass recycling and discover how discarded glass can be transformed into creative and meaningful products. Through interactive activities and a hands-on workshop, participants will learn about sustainability, upcycling, and the circular economy while creating their own recycled-glass Mahjong souvenirs.</t>
  </si>
  <si>
    <t>Re-Glass Lab in Kwai Chung</t>
  </si>
  <si>
    <t>Representative of Re-Glass Lab</t>
  </si>
  <si>
    <t>Kwai Fong MTR Station</t>
  </si>
  <si>
    <t>Visit OCC website for details at https://ln.edu.hk/occ/events/2026-27/re-glass</t>
  </si>
  <si>
    <t>IIMC753</t>
  </si>
  <si>
    <t>LEI</t>
  </si>
  <si>
    <t>從0到1</t>
  </si>
  <si>
    <t>Zero to Impact</t>
  </si>
  <si>
    <t>Lean Canvas for Social Innovation</t>
  </si>
  <si>
    <t xml:space="preserve">At the end of the activity, students will be able to:
1. Apply the "lean canvas" framework to desconstruct, test and iterate the foundational business model;
2. Formulate a clear "unique value proposition" and identify the "unfair advantage" of the proposed solution; and
3. Define actionable key metrics to effectively track and measure both financial sustainability and community impact. </t>
  </si>
  <si>
    <t xml:space="preserve">Learn how to develop a one-page business plan optimised for early-stage startups, rapid iteration and high uncertainty!
Ensure your ideas have a sound problem-solution fit and unique value proposition, and establish key metrics to measure both financial viability and real-world impact. </t>
  </si>
  <si>
    <t>LKK101</t>
  </si>
  <si>
    <t>Belinda</t>
  </si>
  <si>
    <t>Programme Manager</t>
  </si>
  <si>
    <t>Ms. Belinda LAU</t>
  </si>
  <si>
    <t>belindalau@ln.edu.hk</t>
  </si>
  <si>
    <t>IIMC754</t>
  </si>
  <si>
    <t>AI-backed User Interface Software Development</t>
  </si>
  <si>
    <t xml:space="preserve">At the end of the activity, students will be able to:
1. Translate problem statements into effective generative UI/UX prompts;
2. Iterate and deploy a functional, responsive web application without writing traditional codes; and
3. Integrate interactive data features to simulate real-world utility. </t>
  </si>
  <si>
    <t xml:space="preserve">In this hands-on lab, learn how to build an interactive app!
Using a generative AI platform, use plain English to code, design and deploy a customised app. </t>
  </si>
  <si>
    <t>IIMC755</t>
  </si>
  <si>
    <t>GenAI for 3D Modelling and Printing</t>
  </si>
  <si>
    <t xml:space="preserve">At the end of the activity, students will be able to:
1. Understand the fundamentals of 3D modelling and 3D printing;
2. Learn how to utilise text-to-3D generative AI tools to design functional geometry; and
3. Fabricate a physical object. </t>
  </si>
  <si>
    <t xml:space="preserve">Learn how to fabricate physical products using 3D printing! 
Bypassing complex traditional CAD software, learn how to generate custom 3D files with GenAI. </t>
  </si>
  <si>
    <t>LBY301</t>
  </si>
  <si>
    <t>IIMC756</t>
  </si>
  <si>
    <t>The Art of Impactful Pitch</t>
  </si>
  <si>
    <t>At the end of the activity, students will be able to:
1. Construct a compelling pitch that clearly bridges a problem with a meaningful solution;
2. Apply effective verbal and non-verbal communication techniques to deliver a confident and persuasive presentation; and 
3. Defend the idea during an interactive, unscripted Q&amp;A session.</t>
  </si>
  <si>
    <t xml:space="preserve">Learn how to pitch your story impactfully!
Receive coaching on how to weave your research, solution, impact and metrics into a compelling narrative for tailored audience.  </t>
  </si>
  <si>
    <t>IIMC757</t>
  </si>
  <si>
    <t>I33</t>
  </si>
  <si>
    <t>Robotics in Action: Assembling and Programming a Smart Dog</t>
  </si>
  <si>
    <t xml:space="preserve">At the end of the activity, students will be able to:
1. Construct a functional robotic quadruped by correctly wiring and assembling mechanical components, servo motors and microcontrollers; 
2. Programme robotic movement and behaviour using Scratch to seamlessly bridge hardware and software; and
3. Evaluate and troubleshoot the robot's mechanical performance and code in real-time. </t>
  </si>
  <si>
    <t xml:space="preserve">Bring hardware to life in this two-part robotics lab!
Assemble a quadruped "smart dog" using microcontrollers, sensors, and servo motors. Session 1 focuses on hands-on mechanical assembly and introduces Scratch-based visual block coding to easily programme the dog. In Session 2, you will put you dogs to test in a lively, interactive contest - navigating challenges that require rapid troubleshooting, logic iteration and teamwork. 
Students are encouraged to attend the workshop "AI-backed Voice &amp; Vision Hardware Development" to master the fundamentals of edge-AI devices. </t>
  </si>
  <si>
    <t>Bob</t>
  </si>
  <si>
    <t>YU</t>
  </si>
  <si>
    <t>Senior Control Engineer</t>
  </si>
  <si>
    <t xml:space="preserve">Deposit HKD200 will be refunded upon satisfactory completion of both lessons. </t>
  </si>
  <si>
    <t>IPMC021</t>
  </si>
  <si>
    <t>PE</t>
  </si>
  <si>
    <t>球類課程</t>
  </si>
  <si>
    <t>Ball Games</t>
  </si>
  <si>
    <t>籃球</t>
  </si>
  <si>
    <t>Basketball</t>
  </si>
  <si>
    <t>At the end of the course, students are able to:
1. Describe the rules and regulations of basketball;
2. Practice the standard moves of playing basketball (e.g. passing, dribbling, layup and defensive moves); and 
3. Develop interest in the basketball game.</t>
  </si>
  <si>
    <t>Originated in 1891 at Springfield College in the United States, basketball began as an indoor game where players shot a football into peach baskets. In addition to enhancing physical fitness, endurance, and agility, playing basketball fosters strong teamwork and sportsmanship.</t>
  </si>
  <si>
    <t>Physical Fitness and Well-being</t>
  </si>
  <si>
    <t>PFW</t>
  </si>
  <si>
    <t>Jackie Chan Gymnasium</t>
  </si>
  <si>
    <t>Tat Shing</t>
  </si>
  <si>
    <t>Head Coach of Lingnan Basketball Team</t>
  </si>
  <si>
    <t>Please wear proper sportswear.</t>
  </si>
  <si>
    <t>Foris LIN</t>
  </si>
  <si>
    <t>lincn@ln.edu.hk</t>
  </si>
  <si>
    <t>Scully KWOK</t>
  </si>
  <si>
    <t>scullykwok@ln.edu.hk</t>
  </si>
  <si>
    <t>IPMC040</t>
  </si>
  <si>
    <t>排球</t>
  </si>
  <si>
    <t>Volleyball</t>
  </si>
  <si>
    <t xml:space="preserve">At the end of the course, students are able to:
1. Describe the rules and regulations of volleyball; 
2. Practise the standard moves of playing volleyball (e.g. how to dig, pass, serve, block and smash); and, 
3. Develop interest in the volleyball game.                                                                
</t>
  </si>
  <si>
    <t>Originated in the United States in 1895, volleyball is a dynamic team sport played by two teams of six players, with up to six substitutes per squad. In this course, students will master the fundamental skills of volleyball, including serving, passing, spiking, and blocking.</t>
  </si>
  <si>
    <t>Chun Hin</t>
  </si>
  <si>
    <t>Head Coach of Lingnan Volleyball Team</t>
  </si>
  <si>
    <t>IPMC023</t>
  </si>
  <si>
    <t>武術課程</t>
  </si>
  <si>
    <t>Martial Arts</t>
  </si>
  <si>
    <t>拳擊</t>
  </si>
  <si>
    <t>Boxing</t>
  </si>
  <si>
    <t xml:space="preserve">At the end of the course, students are able to:
1. Describe boxing and its footwork;
2. Practice basic boxing movements and body strengthening movements; and
3. Establish regular exercise habit.                                                       
</t>
  </si>
  <si>
    <t>This course introduces the fundamental techniques of formal Olympic boxing to deliver a dynamic, full-body workout. By mastering proper footwork and boxing movements, students will engage major muscle groups, boost cardiovascular fitness, and build  muscular endurance in a safe environment.</t>
  </si>
  <si>
    <t>Wofoo Joseph Lee Student Activity Centre - Room 3</t>
  </si>
  <si>
    <t>Kwok Hung</t>
  </si>
  <si>
    <t>Experienced Boxing Instructor</t>
  </si>
  <si>
    <t>IPMC026</t>
  </si>
  <si>
    <t>劍撃</t>
  </si>
  <si>
    <t>Fencing</t>
  </si>
  <si>
    <t xml:space="preserve">At the end of the course, students are able to:
1. Describe fencing etiquette and safety items;
2. Practice basic foil movements (including footwork, attack and defence); and
3. Develop interest in fencing.                                                         
</t>
  </si>
  <si>
    <t>There are three weapons in modern fencing: foil, épée, and sabre. This course will teach basic foil movement, and introduce the various rules and scoring systems of different weapons.</t>
  </si>
  <si>
    <t>Table Tennis Room, Jackie Chan Gymnasium</t>
  </si>
  <si>
    <t>Hiu Fai</t>
  </si>
  <si>
    <t>WAN</t>
  </si>
  <si>
    <t>Experienced Fencing Instructor</t>
  </si>
  <si>
    <t>IPMC031</t>
  </si>
  <si>
    <t>泰拳</t>
  </si>
  <si>
    <t>Muay-Thai Boxing</t>
  </si>
  <si>
    <t xml:space="preserve">At the end of the course, students are able to:
1. Describe Muay-Thai boxing and its footwork;
2. Practice basic Muay-Thai boxing movements and body strengthening movements; and
3. Establish regular exercise habit.                                                        
</t>
  </si>
  <si>
    <t>In this worshop, you will know how Muay-Thai boxing differentiates from traditional boxing, and learn the basic boxing movements.</t>
  </si>
  <si>
    <t>IPMC039</t>
  </si>
  <si>
    <t>詠春</t>
  </si>
  <si>
    <t>Ving Tsun</t>
  </si>
  <si>
    <t xml:space="preserve">At the end of the course, students are able to:
1. Describe the characteristics of Ving Tsun;
2. Practice basic movements (including horse stance, arm, leg, foot and Chi Sao); and
3. Establish habit of exercising regularly                                                      
</t>
  </si>
  <si>
    <t>Ving Tsun (Wing Chun) is a traditional Chinese martial art renowned for its rapid arm strikes, strong leg movement and relaxed execution of techniques. Through a systematic training, students will quickly grasp the core principles of Ving Tsun to improve physical fitness, cultivate mental focus, and master effective self-defense skills.</t>
  </si>
  <si>
    <t>Wofoo Joseph Lee Student Activity Centre - Room 1</t>
  </si>
  <si>
    <t>Kenny</t>
  </si>
  <si>
    <t>Experienced Ving Tsun Instructor</t>
  </si>
  <si>
    <t>IPMC020</t>
  </si>
  <si>
    <t>羽毛球</t>
  </si>
  <si>
    <t>Badminton</t>
  </si>
  <si>
    <t xml:space="preserve">At the end of the course, students are able to:
1. Describe the rules and regulations of badminton; 
2. Practice the standard moves of playing badminton (e.g. grip, footwork and serving); and, 
3. Develop interest in the badminton game.                                                                 </t>
  </si>
  <si>
    <t>Badminton is a fun and engaging sport, suitable for both recreational play and competitive sports. Key foundational skills include mastering proper racket grip, serving techniques, and footwork patterns. Through targeted drills, players can refine their technique and overall performance while learning the official rules and scoring systems for both singles and doubles play.</t>
  </si>
  <si>
    <t>Wai Lee</t>
  </si>
  <si>
    <t>Head Coach of Lingnan Badminton Team</t>
  </si>
  <si>
    <t>IPMC034</t>
  </si>
  <si>
    <t>乒乓球</t>
  </si>
  <si>
    <t>Table Tennis</t>
  </si>
  <si>
    <t xml:space="preserve">At the end of the course, students are able to:
1. Describe the rules and regulations in the table-tennis singles and doubles; 
2. Practice the standard moves of playing table-tennis (e.g. block, strike and serve); and, 
3. Develop interest in the table-tennis game. </t>
  </si>
  <si>
    <t>Originating in England during the late 19th century, table tennis evolved as an indoor adaptation of lawn tennis played on dining tables. As a highly skill-based sport with a lower physical demand, it is an ideal lifelong activity for maintaining fitness and health.</t>
  </si>
  <si>
    <t xml:space="preserve">Tak Yiu </t>
  </si>
  <si>
    <t>YAM</t>
  </si>
  <si>
    <t>Head Coach of Lingnan Table Tennis Team</t>
  </si>
  <si>
    <t>IPMC032</t>
  </si>
  <si>
    <t>足球</t>
  </si>
  <si>
    <t>Soccer</t>
  </si>
  <si>
    <r>
      <t xml:space="preserve">At the end of the course, students are able to:
1. Describe the rules and regulations of soccer;
2. Practice the standard moves of playing </t>
    </r>
    <r>
      <rPr>
        <sz val="11"/>
        <color theme="1"/>
        <rFont val="Calibri"/>
        <family val="2"/>
        <scheme val="minor"/>
      </rPr>
      <t xml:space="preserve">soccer (e.g. trapping, passing, shooting, and defensive moves) ;and,
3. Develop interest in the soccer game. </t>
    </r>
  </si>
  <si>
    <t>Soccer is one of the most popular and influential competitive sports in the world. Playing soccer helps individuals develop body coordination, agility, and footwork while placing a strong emphasis on physical fitness and teamwork.</t>
  </si>
  <si>
    <t>Soccer Pitch, Pan Sutong Sports Ground</t>
  </si>
  <si>
    <t>Wo Kan</t>
  </si>
  <si>
    <t>YAU</t>
  </si>
  <si>
    <t>Head Coach of Lingnan Soccer Team</t>
  </si>
  <si>
    <t>IPMC035</t>
  </si>
  <si>
    <t>跆拳道</t>
  </si>
  <si>
    <t>Taekwondo</t>
  </si>
  <si>
    <t xml:space="preserve">At the end of the course, students are able to:
1. Describe basic Taekwondo technique and etiquette;
2. Practice basic Taekwondo movements and body strengthening movement; and
3. Establish habit of exercising regularly                                                              
</t>
  </si>
  <si>
    <t>Taekwondo is a set of self-defence techniques developed by ancient Koreans. This course is designed to teach basic forms and footwork. Through a systematic training, students will learn different skills and self-defence techniques to improve cardio endurance and agility.</t>
  </si>
  <si>
    <t>Kin Hang</t>
  </si>
  <si>
    <t>TANG</t>
  </si>
  <si>
    <t>Experienced Taekwondo Instructor</t>
  </si>
  <si>
    <t>IPMC037</t>
  </si>
  <si>
    <t>網球</t>
  </si>
  <si>
    <t>Tennis</t>
  </si>
  <si>
    <t xml:space="preserve">At the end of the course, students are able to:
1. Describe the rules and regulations in the tennis singles and doubles; 
2. Practice the standard moves of playing tennis (e.g.  striking the with forehands or backhands); and, 
3. Develop interest in the tennis game.                                                                </t>
  </si>
  <si>
    <t xml:space="preserve">originated in 14th-century France as a lawn-and-court game, tennis has grown into a globally popular sport. Known for its prestigious Grand Slam tournaments and its status as an Olympic event, tennis develops cardiovascular fitness, explosive agility, and sharp hand-eye coordination. </t>
  </si>
  <si>
    <t>Tennis Court, Pan Sutong Sports Ground</t>
  </si>
  <si>
    <t>PANG</t>
  </si>
  <si>
    <t>Experienced Tennis Instructor</t>
  </si>
  <si>
    <t>IPMC178</t>
  </si>
  <si>
    <t>健體課程</t>
  </si>
  <si>
    <t>Fitness</t>
  </si>
  <si>
    <t>瑜伽</t>
  </si>
  <si>
    <t xml:space="preserve">Yoga </t>
  </si>
  <si>
    <t xml:space="preserve">At the end of the course, students are able to:
1. Describe the safety guidelines of doing yoga;
2. Practice Asana with the correct breathing technique to balance the mind and body; and
3. Establish regular exercise habits.                                                             
</t>
  </si>
  <si>
    <t xml:space="preserve">Yoga practice encourages deep concentration, helping individuals set aside daily distractions, alleviate stress, and cultivate mental clarity. Designed specifically for beginners, this introductory course introduces foundational postures and breathing techniques. </t>
  </si>
  <si>
    <t>Kate</t>
  </si>
  <si>
    <t>Experienced Yoga Instructor</t>
  </si>
  <si>
    <t>IPMC193</t>
  </si>
  <si>
    <t>放鬆伸展運動</t>
  </si>
  <si>
    <t>Relax Stretching</t>
  </si>
  <si>
    <t xml:space="preserve">At the end of the activity, students will be able to:
1. Describe the safety guidelines for doing stretching;
2. Master the ability to sync long, extended exhalations with the deepest phase of a physical stretch. </t>
  </si>
  <si>
    <t>Relaxing stretching combines deep breathing with held static poses to shift your nervous system into a calm, restorative state. By releasing physical muscle tension and lowering stress hormones, this workshop helps restore balance to both body and mind.</t>
  </si>
  <si>
    <t>IPMC041</t>
  </si>
  <si>
    <t>木球</t>
  </si>
  <si>
    <t>Woodball</t>
  </si>
  <si>
    <t xml:space="preserve">At the end of the course, students are able to:
1. Describe the safety guidelines and rules of woodball;
2. Practise the standard moves of playing woodball; and,
3. Develop the interest in the woodball game.
</t>
  </si>
  <si>
    <t>Woodball is an outdoor sport in which players use a wooden mallet to strike a wooden ball through a gate or goal. Combining the full swing of a golf club with the precision putter technique of gateball, this engaging sport enhances physical coordination, focus, and visual acuity.</t>
  </si>
  <si>
    <t>Ka Man</t>
  </si>
  <si>
    <t>CHENG</t>
  </si>
  <si>
    <t>Head Coach of Lingnan Woodball Team</t>
  </si>
  <si>
    <t>IPMC033</t>
  </si>
  <si>
    <t>壁球</t>
  </si>
  <si>
    <t>Squash</t>
  </si>
  <si>
    <t>At the end of the course, students are able to:
1. Describe the safety guidelines and rules of squash;
2. Practice the standard moves of playing squash (e.g.  serving and making forehand or backhand stroke); and,
3. Develop interest in the squash game.</t>
  </si>
  <si>
    <t>Originated in mid-19th century England, squash gets its name from the soft, squeezable ball that squashes against the wall. Because the game takes place in a fast-paced, high-density environment surrounded by four walls, specific rules, equipment standards, and swing techniques are required to ensure the safety of both players.</t>
  </si>
  <si>
    <t>Squash Court, Jackie Chan Gymnasium</t>
  </si>
  <si>
    <t xml:space="preserve">Eric </t>
  </si>
  <si>
    <t>Head Coach of Lingnan Squash Team</t>
  </si>
  <si>
    <t>IPMC192</t>
  </si>
  <si>
    <t>重量訓練</t>
  </si>
  <si>
    <t>Weight Training</t>
  </si>
  <si>
    <t xml:space="preserve">At the end of the course, students are able to:
1. Point out the safety guidelines and training theories of weight training;
2. Practice weight training tailored to their fitness goals; and 
3. Obtain the qualificaiton of using fitness room.                      </t>
  </si>
  <si>
    <t>This practical course is designed for individuals seeking to master the fundamentals of resistance training. Through hands-on practice and step-by-step guidance, you will gain the confidence and practical skills needed to design and execute your own effective workout routines independently.</t>
  </si>
  <si>
    <t>Fitness Room, Jackie Chan Gymnasium</t>
  </si>
  <si>
    <t>Thomas</t>
  </si>
  <si>
    <t>Experienced Fitness Instructor</t>
  </si>
  <si>
    <t>IPMC107</t>
  </si>
  <si>
    <t>健體班</t>
  </si>
  <si>
    <t>Bodybuilding</t>
  </si>
  <si>
    <t>At the end of the workshop, students will be able to:
1. Point out the safety guidelines and training theories of lifting;
2. Practice weight training tailored to their fitness goals; and 
3. Obtain the qualificaiton of using fitness room.</t>
  </si>
  <si>
    <t>This course is designed to introduce students to essential muscle training methods and weight management principles. Under the guidance of an instructor, you will practice training routines tailored to your individual needs, fitness levels, and abilities. Upon successful completion of this course, students will earn the official qualification to use the university's fitness room facilities.</t>
  </si>
  <si>
    <t>Jenny</t>
  </si>
  <si>
    <t>CHEUNG</t>
  </si>
  <si>
    <t>IPMC029</t>
  </si>
  <si>
    <t>柔道</t>
  </si>
  <si>
    <t>Judo</t>
  </si>
  <si>
    <t xml:space="preserve">At the end of the course, students are able to:
1. Describe basic Judo techniques and etiquette;
2. Practice basic Judo movements and body strengthening movement; and
3. Establish habit of exercising regularly                                                          
</t>
  </si>
  <si>
    <t>Judo is a Japanese martial art developed in 1882 by Jigoro Kano. By mastering core techniques that emphasize leverage, balance, and momentum over brute force, students of any gender can effectively execute basic movements.</t>
  </si>
  <si>
    <t>Hung Wai</t>
  </si>
  <si>
    <t>Head Coach of Lingnan Judo Team</t>
  </si>
  <si>
    <t>IPMC175</t>
  </si>
  <si>
    <t>Kpop舞蹈</t>
  </si>
  <si>
    <t>Kpop Dance</t>
  </si>
  <si>
    <t>At the end of the course, students are able to:
1. Understand different dancing techniques;  
2. Learn the choreography of popular kpop song
3. Establish habit of exercising regularly</t>
  </si>
  <si>
    <t>Kpop dance is one of the most popular dancing styles. With an understanding of the different basic steps, students can develop different dancing styles.</t>
  </si>
  <si>
    <t>Marion</t>
  </si>
  <si>
    <t>Experienced Dance Instructor</t>
  </si>
  <si>
    <t>IPMC174</t>
  </si>
  <si>
    <t>嘻哈舞</t>
  </si>
  <si>
    <t>Hip Hop Dance</t>
  </si>
  <si>
    <t xml:space="preserve">At the end of the course, students are able to:
1. Understand the hip-hop basic technique;
2. Dance the basic steps with the music.
3. Establish habit of exercising regularly
</t>
  </si>
  <si>
    <t>Hip Hop dance is one of the most popular dancing styles. The course will equip students with basic understanding of the hip-hop steps, allowing them to develop different dancing styles.</t>
  </si>
  <si>
    <t>IPMC191</t>
  </si>
  <si>
    <t>非撞式欖球(體驗班)</t>
  </si>
  <si>
    <t>Touch Rugby (Beginner)</t>
  </si>
  <si>
    <t xml:space="preserve">At the end of the activity, students will be able to:
1. Describe the rules and regulations of touch rugby
2. Practice the standard moves of playing touch rugby; and,
3. Develop an interest in the touch rugby game.
</t>
  </si>
  <si>
    <t>Touch rugby is a fast-paced, minimal-contact team sport derived from rugby league. The primary goal is to score tries by grounding the ball over the opponent's try line. By replacing physical tackles with a light hand touch, it delivers all the strategy and excitement of rugby in a safe, high-energy environment.</t>
  </si>
  <si>
    <t>Tin Chu</t>
  </si>
  <si>
    <t xml:space="preserve"> MAN</t>
  </si>
  <si>
    <t>Head Coach of Lingnan Rugby Team</t>
  </si>
  <si>
    <t>IPMC195</t>
  </si>
  <si>
    <t>療癒瑜伽</t>
  </si>
  <si>
    <t>Yoga therapy</t>
  </si>
  <si>
    <t>At the end of the activity, students will be able to:
1. Identify foundational yoga postures and adapt them safely using basic props according to their individual physical capabilities and comfort.
2. Demonstrate proper joint alignment and body mechanics in gentle movement patterns to prevent strain or injury.</t>
  </si>
  <si>
    <t>Yoga therapy is a personalized, evidence-based mind-body practice that adapts traditional yoga techniques (like asanas, breathwork, and meditation) to manage specific health conditions. It empowers individuals toward self-healing and symptom relief under the guidance of specially trained therapists.</t>
  </si>
  <si>
    <t>IPMC194</t>
  </si>
  <si>
    <t>日常伸展運動</t>
  </si>
  <si>
    <t>Stretching for daily life</t>
  </si>
  <si>
    <t xml:space="preserve">At the end of the activity, students will be able to:
1. Increase the movement patterns of your body; and
2. Relieve chronically tight muscles that pull the body out of alignment.
</t>
  </si>
  <si>
    <t>Poor habits often lead to stiff joints, poor posture, and chronic muscle tightness. This workshop introduces daily stretching techniques designed to restore your body’s natural flexibility and movement patterns.</t>
  </si>
  <si>
    <t>IPMC030</t>
  </si>
  <si>
    <t>空手道</t>
  </si>
  <si>
    <t>Karate</t>
  </si>
  <si>
    <t xml:space="preserve">At the end of the course, students are able to:
1. Describe basic Karate techniques and etiquette;
2. Practise basic Karate movements and body strengthening movement; and
3. Establish habit of exercising regularly                                                            
</t>
  </si>
  <si>
    <t>Originating in the Ryukyu Kingdom before gaining widespread popularity across Japan in the late 19th century, Karate is a renowned martial art focused on striking and discipline. This course introduces students to the two foundational pillars of Karate: Kata (pre-arranged movement patterns) and Kumite (sparring). Through structured instruction, participants will master proper force generation, timing, and strategic body movement.</t>
  </si>
  <si>
    <t>Shing Cheong</t>
  </si>
  <si>
    <t>Head Coach of Lingna Karate Team</t>
  </si>
  <si>
    <t>Yee Yin</t>
  </si>
  <si>
    <t>TUNG</t>
  </si>
  <si>
    <t>Head Coach of Lingnan Karate Team</t>
  </si>
  <si>
    <t>IPMC199</t>
  </si>
  <si>
    <t>中醫講座: 中醫情緒健康調節</t>
  </si>
  <si>
    <t>Chinese Medicine Talk: Emotional Regulation via Traditional Chinese Medicine</t>
  </si>
  <si>
    <t>At the end of the workshop, students will be able to:
1. Learn the seven emotions in Traditional Chinese Medicine point of view and the connection between five organs and emotions.</t>
  </si>
  <si>
    <t>This talk explores the profound wisdom of Traditional Chinese Medicine to help you understand, regulate, and transform your emotional well-being.</t>
  </si>
  <si>
    <t xml:space="preserve">Afa </t>
  </si>
  <si>
    <t>Registered Chinese Medicine Practitioner</t>
  </si>
  <si>
    <t>IPMC232</t>
  </si>
  <si>
    <t>中醫講座: 順應自然的養生之道（生物鐘）</t>
  </si>
  <si>
    <t>Chinese Medicine Talk: Listen to Your Biological Clock</t>
  </si>
  <si>
    <t>At the end of the workshop, students will be able to:
1. Learn how changes in nature (weather, seasons, climate) directly affect the human body and blood circulation.
2. Learn the seasonal wellness strategies (四季養生)</t>
  </si>
  <si>
    <t>This talk introduces the ancient wisdom of Tian Ren He Yi (天人合一) and provides practical strategies to align your daily choices with nature to boost immunity, prevent illness, and cultivate lifelong vitality</t>
  </si>
  <si>
    <t>IPMC196</t>
  </si>
  <si>
    <t>滾軸溜冰體驗班</t>
  </si>
  <si>
    <t>Roller Skating Workshop</t>
  </si>
  <si>
    <t>At the end of the activity, students will be able to:
1. drop your centre of gravity and fall forward onto knee and wrist pads without sustaining injuries.
2. Maintain a proper stance with knees bent, shoulders forward, and feet parallel.
3.  Establish habit of exercising regularly</t>
  </si>
  <si>
    <t>Roller skating is a timeless sport and recreational activity that involves traveling on shoes equipped with small wheels. It balances high-energy cardio with artistic expression, promoting full-body coordination, core strength, and cardiovascular health.</t>
  </si>
  <si>
    <t>Tuen Mun</t>
  </si>
  <si>
    <t>Weskate Roller Sports Association Limited</t>
  </si>
  <si>
    <t>IPMC223</t>
  </si>
  <si>
    <t>射箭體驗班</t>
  </si>
  <si>
    <t>Archery Workshop</t>
  </si>
  <si>
    <t>At the end of the course, students are able to :
1. Describe the safety guidelines and rules of playing archery
2. Practice the standard moves of playing archery; and,
3. Develop the interest in the archery.</t>
  </si>
  <si>
    <t xml:space="preserve">Through learning the standard moves of playing archery, students can build muscle endurance, improve hunchbacks, develop mental strength, and cultivate resilience. </t>
  </si>
  <si>
    <t>Seeds Archery Services Ltd.</t>
  </si>
  <si>
    <t>IPMC197</t>
  </si>
  <si>
    <t>參觀屯門地區康體中心</t>
  </si>
  <si>
    <t>Visit to Tuen Mun District Health Centre</t>
  </si>
  <si>
    <t>Tuen Mun District Health Centre</t>
  </si>
  <si>
    <t xml:space="preserve">Community Services </t>
  </si>
  <si>
    <t>嶺南大學國旗護衛隊 (訓練課程)</t>
  </si>
  <si>
    <t>Lingnan University Flag Guard Team (Training Programme)</t>
  </si>
  <si>
    <t>At the end of the event, students will be able to:
1. Acquire adequate training to take up the solemn flag raising duty;
2. Develop an appreciation of belonging to our country; and
3. Enhance the sense of national identity.</t>
  </si>
  <si>
    <t>In order to equip student members of the Lingnan University Flag GuardTeam with adequate knowledge and skills to take up the solemn flag raising duties in the University, a 22-hour training programme will be offered and conducted by the Hong Kong Army Cadets Association (香港青少年軍總會) during October - November in every academic year. The comprehensive training programme will cover the following:
1) A 3-hour seminar on "Understanding the Etiquette of National Flag Raising and Displaying";
2) A 16-hour "Flag Raising Instructor Training Course";
3) A 3-hour training course on "Uniform Wearing".</t>
  </si>
  <si>
    <t>Sep - Nov 2026</t>
  </si>
  <si>
    <t>Joey LEUNG</t>
  </si>
  <si>
    <t>joeyl@ln.edu.hk</t>
  </si>
  <si>
    <t>IPMC227</t>
  </si>
  <si>
    <t>共融運動體驗 - 羽毛球</t>
  </si>
  <si>
    <t>Inclusive Sports - Badminton</t>
  </si>
  <si>
    <t>At the end of the activity, students will be able to:
1. Experience the fundamentals of badminton through play;
2. Meet new friends with similar interests and hobbies; and
3. Develop a habit of regular exercise and physical activity.</t>
  </si>
  <si>
    <t>Participants can enjoy an engaging badminton workshop where they will learn the fundamentals of the game while meeting new friends and developing a habit of regular exercise.</t>
  </si>
  <si>
    <t>SAC 3</t>
  </si>
  <si>
    <t>Wai Lun</t>
  </si>
  <si>
    <t>LAI</t>
  </si>
  <si>
    <t>IPMC251</t>
  </si>
  <si>
    <t xml:space="preserve">布袋球及芬蘭木柱共融運動體驗 </t>
  </si>
  <si>
    <t>Inclusive Sports - Cornhole &amp; Molkky</t>
  </si>
  <si>
    <t>At the end of the activity, students will be able to:
1. Understand the basic rules and techniques of Cornhole and Molkky, fostering an appreciation for diverse sports activities;
2. Recognise and increase awareness of various types of Special Educational Needs (SEN); and
3. Participate in a relaxing and supportive environment that promotes inclusion and teamwork among all participants.</t>
  </si>
  <si>
    <t>The workshop enables students to explore the inclusive sports of Cornhole and Molkky. Designed to accommodate players of all ages and abilities, this session promotes teamwork, friendly competition, and physical activity in a supportive environment. Participants will learn the rules, techniques, and strategies of both games while fostering inclusivity and social connection. Whether beginners or experienced players, attendees will have a great opportunity to enjoy these accessible outdoor games and strengthen community spirit.</t>
  </si>
  <si>
    <t>Representative from Wai Ji Christian Service</t>
  </si>
  <si>
    <t>IPMC252</t>
  </si>
  <si>
    <t>共融運動體驗 - 地壺球</t>
  </si>
  <si>
    <t>Inclusive Sports - Floor Curing</t>
  </si>
  <si>
    <t>At the end of the activity, students will be able to:
1. Develop a basic understanding of inclusive sports and how adaptations support students with diverse abilities; 
2. Experience Floor Curling as an accessible sport that promotes inclusion, teamwork, and participation; and
3. Build awareness of how inclusive physical activities contribute to social interaction and well-being.</t>
  </si>
  <si>
    <t xml:space="preserve">Participants will be introduced to the concept of inclusive sports through hands-on participation in Floor Curling. The activity demonstrates how sports can be adapted to ensure accessibility for students with diverse abilities. Through guided play and teamwork, students will gain practical experience in inclusive physical activity while fostering collaboration, mutual respect, and enjoyment in an inclusive environment.
</t>
  </si>
  <si>
    <t>Floor Curling Association of China Hong Kong</t>
  </si>
  <si>
    <t>IPMC253</t>
  </si>
  <si>
    <t>盲人足球共融體驗活動</t>
  </si>
  <si>
    <t>Blindside Goals: A Football Experience for All</t>
  </si>
  <si>
    <t>At the end of the activity, students will be able to:
1. Experience an inclusive and engaging football session that fosters empathy, teamwork, and effective communication among participants of all abilities, including those with visual impairments; and
2. Enhance physical fitness and boost confidence through engaging and accessible football activities.</t>
  </si>
  <si>
    <t xml:space="preserve">An inclusive football workshop designed to provide a unique and engaging experience for participants of all abilities. This session emphasizes teamwork, communication, and adaptability by introducing football exercises that challenge traditional play, encouraging players to rely on senses beyond sight. Whether participants are a seasoned player or new to the game, this workshop offers a fun, supportive environment to develop new skills, build confidence, and foster a deeper appreciation for the sport. </t>
  </si>
  <si>
    <t>Rex</t>
  </si>
  <si>
    <t>Eyespathy Inclusive Education Centre Limited</t>
  </si>
  <si>
    <t>IPMC250</t>
  </si>
  <si>
    <t>全人拳擊</t>
  </si>
  <si>
    <t>Total Boxing - A Holistic Approach for Physical, Psychological and Emotional Resilience</t>
  </si>
  <si>
    <t>At the end of the activity, students will be able to:
1. Understand the concept and purpose of holistic development through physical training integrated with psychological principles;
2. Recognise the relationship between physical health, mental resilience, emotional stability, and relational growth; 
3. Develop self-discipline, perseverance, and teamwork through structured boxing activities; and
4. Strengthen their interest and commitment toward positive character building and healthy living.</t>
  </si>
  <si>
    <t>In today’s fast-paced and high-pressure environment, many young people struggle with stress, low self-esteem, emotional instability, and lack of direction. While academic achievement is often emphasised, physical well-being and mental health are sometimes overlooked.
Boxing, when properly structured, is not merely a combat sport but a disciplined training system that builds endurance, focus, emotional control, and resilience. When integrated with guided reflection and psychological principles, it becomes a powerful tool for holistic development.</t>
  </si>
  <si>
    <t>潘蘇通運動場 SAC Room 1</t>
  </si>
  <si>
    <t>Sze Hong</t>
  </si>
  <si>
    <t> </t>
    <phoneticPr fontId="16" type="noConversion"/>
  </si>
  <si>
    <t>Please wear sports attire.</t>
  </si>
  <si>
    <t>Total Boxing- A Holistic Approach for Physical, Psychological and Emotional Resilience</t>
  </si>
  <si>
    <t>At the end of the activity, students will be able to:
1. Understand the concept and purpose of holistic development through physical training integrated with psychological principles;
2. Recognise the relationship between physical health, mental resilience, emotional stability, and relational growth;
3. Develop self-discipline, perseverance, and teamwork through structured boxing activities; and
4. Strengthen their interest and commitment toward positive character building and healthy living.</t>
  </si>
  <si>
    <t>ISMC410</t>
  </si>
  <si>
    <t>Relationship Series</t>
  </si>
  <si>
    <t>關係建立系列</t>
    <phoneticPr fontId="16" type="noConversion"/>
  </si>
  <si>
    <t>《AI與情緒支援：如何安全與平衡地保持連結》</t>
  </si>
  <si>
    <t>AI and Emotional Support: Staying Safe, Balanced, and Connected</t>
  </si>
  <si>
    <t>At the end of the activity, students will be able to:
1. Understand the role and limitations of AI in providing emotional support;
2. Develop awareness of potential risks, including over-reliance, privacy concerns, and misinformation; and
3. Learn strategies to use AI tools in a safe, balanced, and responsible way while maintaining real-life connections</t>
  </si>
  <si>
    <t>Participants will explore how AI is increasingly used for emotional support and self-help, alongside its benefits and limitations. The workshop will cover practical guidance on safe usage, maintaining emotional balance, and knowing when to seek human support, with an emphasis on fostering healthy and connected wellbeing practices.</t>
  </si>
  <si>
    <t>Social and Emotional Well-being</t>
  </si>
  <si>
    <t>Rachel</t>
  </si>
  <si>
    <t>Clinical Psychologist</t>
  </si>
  <si>
    <t>Cheong Kaki</t>
  </si>
  <si>
    <t>kakicheong2@ln.edu.hk</t>
  </si>
  <si>
    <t>Mr Kyle KWOK</t>
  </si>
  <si>
    <t>kylekwok@ln.edu.hk</t>
  </si>
  <si>
    <t>ISMC411</t>
  </si>
  <si>
    <t>《由衝突到連結：戲劇溝通實驗室》</t>
  </si>
  <si>
    <t>Clash to Connection: A Drama Lab on Communication </t>
  </si>
  <si>
    <t>At the end of the activity, students will be able to:
1. Develop greater awareness of their own communication styles and responses in conflict situations;
2. Learn and practice effective communication strategies through drama-based and role-play activities; and
3. Enhance empathy and perspective-taking when navigating interpersonal conflicts.</t>
  </si>
  <si>
    <t>Participants will explore common conflict scenarios through experiential drama techniques, including role-play and guided reflection. The workshop will introduce practical tools for managing conflict, improving communication, and fostering healthier interpersonal relationships in a safe and interactive environment.</t>
  </si>
  <si>
    <t>LYH109</t>
  </si>
  <si>
    <t>Man Kit</t>
  </si>
  <si>
    <t>KWONG</t>
  </si>
  <si>
    <t>Registered Social Worker , Drama Therapist</t>
  </si>
  <si>
    <t>ISMC412</t>
  </si>
  <si>
    <t>Personal Development Series</t>
    <phoneticPr fontId="16" type="noConversion"/>
  </si>
  <si>
    <t>個人成長系列</t>
    <phoneticPr fontId="16" type="noConversion"/>
  </si>
  <si>
    <t>《從《鬼滅之刃》看勇氣、失去與成長》</t>
  </si>
  <si>
    <t>Beyond the Battle: Courage, Loss, and Growth in" Demon Slayer"</t>
  </si>
  <si>
    <t>At the end of the activity, students will be able to:
1. Reflect on themes of courage, loss, and personal growth as portrayed in Demon Slayer;
2. Explore their own experiences and emotions related to adversity and resilience; and
3. Develop insights into coping with challenges and fostering personal growth.</t>
  </si>
  <si>
    <t>Participants will examine key themes and selected scenes from Demon Slayer to explore concepts of courage, loss, and growth. Through guided discussion and reflective activities, the workshop will connect these themes to students’ real-life experiences, supporting personal insight, emotional awareness, and resilience development.</t>
  </si>
  <si>
    <t>Esther</t>
  </si>
  <si>
    <t>YIP</t>
  </si>
  <si>
    <t xml:space="preserve">Registered Social Worker </t>
  </si>
  <si>
    <t>Fung Yin</t>
  </si>
  <si>
    <t>Fung</t>
  </si>
  <si>
    <t>ISMC413</t>
  </si>
  <si>
    <t>人生好 Kick，點部署？
——面對未知前路，如何過好我的大學生活？</t>
  </si>
  <si>
    <t>Life Happens: How Do I Navigate the Unknown in University Life?</t>
  </si>
  <si>
    <t xml:space="preserve">At the end of the activity, students will be able to:
1. Recognise impermanence in life and its relevance to university adjustment;
2. Apply resilience and acceptance strategies to handle academic and life pressures; and
3. Create personal meaning and realistic goals for their university journey.
</t>
  </si>
  <si>
    <t>In September, freshmen enter university with high ambitions but face pressures in academics, accommodation, friendships, and adaptation. Final-year students often feel uncertain about the future. This talk explores impermanence, resilience, and finding meaning in university life</t>
  </si>
  <si>
    <t>Tsz Leung, Jason</t>
  </si>
  <si>
    <t>Clinical Psychologist</t>
  </si>
  <si>
    <t>Jonathan Chau</t>
    <phoneticPr fontId="16" type="noConversion"/>
  </si>
  <si>
    <t>jonathanchau@ln.edu.hk</t>
    <phoneticPr fontId="16" type="noConversion"/>
  </si>
  <si>
    <t>ISMC414</t>
  </si>
  <si>
    <t xml:space="preserve">戀愛Try情尋 </t>
  </si>
  <si>
    <t>Love in Progress: Try &amp; Explore</t>
  </si>
  <si>
    <t>At the end of the activity, students will be able to:
1.  Identify healthy patterns in intimate relationships;
2.  Apply basic skills to start meaningful conversations and build connections; and
3.  Explore personal values and set boundaries in romantic relationships.</t>
  </si>
  <si>
    <t>September and October mark the beginning of the academic year. Many students — especially freshmen — enter university with various expectations, particularly in forming new relationships and exploring their personal lives. At the same time, they often face significant pressures, such as falling back into toxic relationship patterns. Some students also struggle with basic social skills. Let's have a deeper exploration of relationships</t>
  </si>
  <si>
    <t>Wing Ho (Tony)</t>
  </si>
  <si>
    <t>Caritas Family Service - Intimacy Channel 
Project Leader</t>
  </si>
  <si>
    <t>Hoi Yan (Savanna)</t>
  </si>
  <si>
    <t>MOK</t>
  </si>
  <si>
    <t>Caritas Family Service - Intimacy Channel 
Social Worker</t>
  </si>
  <si>
    <t>6 &gt; deposit</t>
  </si>
  <si>
    <t>ISMC415</t>
  </si>
  <si>
    <t>自我探索之旅 （性格透視）</t>
  </si>
  <si>
    <t>Wellness Self Journey 
(Personality Dimensions)</t>
  </si>
  <si>
    <t>At the end of the activity, students will be able to:
1. Identify their core values, needs, and communication style;
2. Understand how personality colors and introversion/extroversion affect interactions; and
3. Apply self-awareness to resolve conflicts and build mutual respect.</t>
  </si>
  <si>
    <t>The Personality Dimensions® assessment is a temperament-based tool that blends psychological theory with an engaging card-sorting process. It categorises individuals into four color-coded personality styles, while uniquely incorporating the Introversion/Extraversion dichotomy. It is designed to improve self-awareness, communication, and team dynamics.</t>
  </si>
  <si>
    <t>LYH319320</t>
  </si>
  <si>
    <t>Ho Yi</t>
  </si>
  <si>
    <t>Director
Association for Coaching and Facilitation (ACF)</t>
  </si>
  <si>
    <t>ISMC416</t>
  </si>
  <si>
    <t xml:space="preserve"> 如何支援情緒低落的朋友</t>
  </si>
  <si>
    <t xml:space="preserve">Helping Friends with Low Moods </t>
  </si>
  <si>
    <t xml:space="preserve">At the end of the activity, students will be able to:
1. Understand key signs and symptoms of depression;
2. Learn practical strategies for offering effective support to peers experiencing low moods; and
3. Identify ways to improve mental wellbeing.
</t>
  </si>
  <si>
    <t>The workshop equips participants with basic knowledge about depression, and practical strategies for offering effective support to peers experiencing low moods. Participants will build confidence in recognising when someone may need help, and how to initiating a supportive conversation.</t>
  </si>
  <si>
    <t xml:space="preserve">Edwin </t>
    <phoneticPr fontId="16" type="noConversion"/>
  </si>
  <si>
    <t>LUI</t>
  </si>
  <si>
    <t>Counsellor, Office of Student Affairs, Lingnan University</t>
    <phoneticPr fontId="16" type="noConversion"/>
  </si>
  <si>
    <t>Mr Edwin Lui</t>
  </si>
  <si>
    <t>cfelui@ln.edu.hk</t>
  </si>
  <si>
    <t>ISMC417</t>
  </si>
  <si>
    <t>解說技巧入門</t>
  </si>
  <si>
    <t xml:space="preserve">Introduction of Debriefing Skills </t>
  </si>
  <si>
    <t xml:space="preserve">At the end of the activity, students will be able to:
1. Understand key purposes of debriefing;
2. Learn practical strategies for effective debriefing skills – the 4Fs of Debriefing; and
3. Identify common pitfalls in debriefing.  </t>
  </si>
  <si>
    <t>The workshop introduces a simple debriefing framework—Fact, Feeling, Findings, Future designed for peer support and group reflections. The workshop guides participants through a structured process to help others make sense of an experience. Participants will leave with a ready-to-use tool for facilitating debriefing conversations in academic, extracurricular, and everyday settings.</t>
  </si>
  <si>
    <t>ISMC418</t>
  </si>
  <si>
    <t>朋輩支援技巧</t>
  </si>
  <si>
    <t xml:space="preserve">Introduction of Peer Support </t>
  </si>
  <si>
    <t>At the end of the activity, students will be able to:
1. Understand key purposes of peer support;
2. Learn practical skills for effective communication; and
3. Identify warning signs and make a referral.</t>
    <phoneticPr fontId="16" type="noConversion"/>
  </si>
  <si>
    <t>The workshop introduces the key purpose of peer support. Participants will learn effective communication skills (e.g., active listening, open questioning, reflection of feelings), how to recognise signs of risk, and the steps to make a referral to professional services. Participants will build the confidence to support peers while understanding their own boundaries and limits.</t>
  </si>
  <si>
    <t>ISMC419</t>
  </si>
  <si>
    <t>Emotional Health Series</t>
    <phoneticPr fontId="16" type="noConversion"/>
  </si>
  <si>
    <t>情緒健康系列</t>
    <phoneticPr fontId="16" type="noConversion"/>
  </si>
  <si>
    <t xml:space="preserve">「影像發聲」- 攝影表達情感線上課 </t>
    <phoneticPr fontId="16" type="noConversion"/>
  </si>
  <si>
    <t>Speaking Through Images: Photography for Emotional Expression</t>
    <phoneticPr fontId="16" type="noConversion"/>
  </si>
  <si>
    <t>At the end of the activity, students will be able to:
1. Understand the concept of "visual voice" and how photography serves as a medium for emotional expression;
2. Learn practical visual storytelling techniques to convey complex feelings; and 
3. Use photography as a mindful tool for personal self-reflection and emotional release.</t>
  </si>
  <si>
    <t>This workshop introduces photography as a "visual voice" to express and process inner emotions. Participants will learn practical creative skills—such as leveraging lighting, framing, and visual metaphors—to translate abstract feelings into compelling images. Through hands-on practice, students will build the confidence to express themselves authentically while discovering mindful creative tools to navigate university life.</t>
  </si>
  <si>
    <t>Zoom</t>
    <phoneticPr fontId="16" type="noConversion"/>
  </si>
  <si>
    <t>Isabel</t>
    <phoneticPr fontId="16" type="noConversion"/>
  </si>
  <si>
    <t>CHIM</t>
  </si>
  <si>
    <t>Hong Kong Let Go PhotoTherapy Centre</t>
    <phoneticPr fontId="16" type="noConversion"/>
  </si>
  <si>
    <t>Dr Niki Ho</t>
    <phoneticPr fontId="16" type="noConversion"/>
  </si>
  <si>
    <t>nikiho@ln.edu.hk</t>
    <phoneticPr fontId="16" type="noConversion"/>
  </si>
  <si>
    <t>ISMC420</t>
  </si>
  <si>
    <t>穩步前行：大學生活中的心理調適與自我關懷</t>
    <phoneticPr fontId="16" type="noConversion"/>
  </si>
  <si>
    <r>
      <t>Protect Your Pace:</t>
    </r>
    <r>
      <rPr>
        <sz val="11"/>
        <color theme="1"/>
        <rFont val="Calibri"/>
        <family val="2"/>
        <scheme val="minor"/>
      </rPr>
      <t xml:space="preserve"> Practical Self-Care Strategies for University Life</t>
    </r>
  </si>
  <si>
    <t>At the end of the activity, students will be able to:
1. Identify personal warning signs of academic and lifestyle stress to improve self-awareness;
2. Apply micro-rest and time management techniques to build daily, sustainable self-care habits; and
3. Explore personal values to establish healthy boundaries across social and academic domains.</t>
  </si>
  <si>
    <t>This workshop equips participants with basic knowledge about the psychology of student burnout, and practical strategies for maintaining mental well-being in a demanding campus environment. Participants will build confidence in recognizing their own personal stress warning signs, and learning how to initiate healthy boundaries and sustainable micro-rest habits to achieve their academic goals without sacrificing their health.</t>
    <phoneticPr fontId="16" type="noConversion"/>
  </si>
  <si>
    <t>Niki</t>
    <phoneticPr fontId="16" type="noConversion"/>
  </si>
  <si>
    <t>HO</t>
  </si>
  <si>
    <t>Clinical Psychologist</t>
    <phoneticPr fontId="16" type="noConversion"/>
  </si>
  <si>
    <t>ISMC421</t>
  </si>
  <si>
    <t>創建安全與尊重的校園：預防大學中的性騷擾</t>
  </si>
  <si>
    <t>Creating a Safe and Respectful Campus: Preventing Sexual Harassment at University</t>
    <phoneticPr fontId="16" type="noConversion"/>
  </si>
  <si>
    <t>At the end of the activity, participants will be able to:
1. Understand what constitutes sexual harassment and recognize its impact on individuals and the university community;
2. Identify situations and behaviors that may lead to harassment and learn ways to prevent them;
3. Gain knowledge of university policies, reporting procedures, and resources available for victims and bystanders;
4. Develop skills to assert boundaries, seek consent, and communicate effectively in personal and professional interactions; and
5. Learn how to support peers who may experience harassment and contribute to a culture of safety, respect, and inclusivity.</t>
  </si>
  <si>
    <t>This workshop aims to create awareness about sexual harassment, educate participants on recognizing inappropriate behaviors, and empower them to foster a safe and respectful university environment. Participants will learn prevention strategies, reporting mechanisms, and ways to support those affected, while understanding the importance of consent, boundaries, and mutual respect.</t>
  </si>
  <si>
    <t>SEW</t>
    <phoneticPr fontId="16" type="noConversion"/>
  </si>
  <si>
    <t xml:space="preserve">Niki </t>
    <phoneticPr fontId="16" type="noConversion"/>
  </si>
  <si>
    <t>HO</t>
    <phoneticPr fontId="16" type="noConversion"/>
  </si>
  <si>
    <t xml:space="preserve">Clinical Psychologist; 
Registered Sex Educator and Sex Therapist </t>
    <phoneticPr fontId="16" type="noConversion"/>
  </si>
  <si>
    <t>ISMC422</t>
  </si>
  <si>
    <t>Relaxation Series</t>
    <phoneticPr fontId="16" type="noConversion"/>
  </si>
  <si>
    <t>舒心放鬆系列</t>
    <phoneticPr fontId="16" type="noConversion"/>
  </si>
  <si>
    <t xml:space="preserve">靜觀藝術工坊: 玻璃彩繪曼陀羅 </t>
  </si>
  <si>
    <t>Mindful Art Workshop – Glass Painting Mandala</t>
  </si>
  <si>
    <t>At the end of the activity, students will be able to:
1. Experience the integration of mindfulness practices with creative art-making;
2. Learn basic techniques of glass painting to create a personal mandala artwork;
3. Cultivate relaxation, present-moment awareness, and inner calm through guided mindfulness exercises; and
4. Use the symbolic process of mandala creation as a tool for self-expression and emotional balance.</t>
  </si>
  <si>
    <t>This workshop offers a calming and creative experience designed to support both relaxation and self-expression. The session begins with a gentle body relaxation and mindfulness practice, helping participants slow down, become present in the moment, and prepare mentally and emotionally for the creative process. Following this, participants will be guided in the creation of a mindful art piece through glass painting mandala, using colors, patterns, and repetition as a form of meditation and artistic exploration. This process encourages focus, inner calm, and personal reflection while allowing each individual to create something unique and meaningful. The workshop concludes with a time of reflection, summary, and group sharing, where participants can thoughtfully look back on their experience, express insights gained during the session, and connect with others in a supportive and peaceful environment.</t>
  </si>
  <si>
    <t>Cyan</t>
  </si>
  <si>
    <t xml:space="preserve">Founder of SOUL HEALER HK LIMITED,
Registered Teacher </t>
  </si>
  <si>
    <t>Ms Michelle CHAN</t>
  </si>
  <si>
    <t>michellechan5@LN.edu.hk</t>
  </si>
  <si>
    <t>ISMC423</t>
  </si>
  <si>
    <t>Relationship Series</t>
    <phoneticPr fontId="16" type="noConversion"/>
  </si>
  <si>
    <t>螢幕後的蝴蝶效應：善意、惡意與影響力</t>
  </si>
  <si>
    <t>Life Behind the Screen</t>
  </si>
  <si>
    <t>At the end of the activity, students will be able to:
1. Enhance their awareness on their behaviors in both real and online worlds;
2. Practise respect and responsible behavior online; and
3. Nurture empathy, social responsibility, and psychological resilience.</t>
  </si>
  <si>
    <t>Even in the online world, the kindness or malice expressed behind a screen can be transformed into real-world impact. Through interactive games, this session explores the harm caused by cyberbullying, abusive comments, and hate speech, helping students understand that the online world can also affect the lives of others. It encourages them to reflect on their words and actions in both the real and virtual worlds, thereby fostering empathy and cultivating positive values, so that they can also practice respect and responsible behavior online.</t>
  </si>
  <si>
    <t>SEW</t>
  </si>
  <si>
    <t xml:space="preserve">Ms. </t>
  </si>
  <si>
    <t xml:space="preserve">Wai Sum </t>
    <phoneticPr fontId="16" type="noConversion"/>
  </si>
  <si>
    <t>Registered Social Worker, Chinese YMCA of Hong Kong</t>
    <phoneticPr fontId="16" type="noConversion"/>
  </si>
  <si>
    <t>ISMC424</t>
  </si>
  <si>
    <t>快閃人生之旅 桌遊工作坊</t>
  </si>
  <si>
    <t>"Flash Life Journey" Boardgame Workshop</t>
  </si>
  <si>
    <t>At the end of the activity, students will be able to:
1. Gain practical decision-making experience through life-simulation board games; 
2. Strengthen self-esteem and trust in their own judgment; and
3. Think critically and consider consequences of their actions.</t>
  </si>
  <si>
    <t>The "Flash Life Journey" boardgame is one of the activities under the “Journey+” Youth Health Education Programme, funded by The Hong Kong Jockey Club in partnership with Hong Kong Children and Youth Services.The boardgame customised for this programme, immerses students in decision-making scenarios that teach financial literacy, impulse control, and the real-life consequences of underage or excessive gambling. Participants will play in small groups, with social workers facilitating debriefing sessions afterwards.</t>
  </si>
  <si>
    <t>LYH110</t>
  </si>
  <si>
    <t xml:space="preserve">Yan Pui, Jelly </t>
  </si>
  <si>
    <t>Registered Social Worker, Hong Kong Children and Youth Services</t>
  </si>
  <si>
    <t xml:space="preserve">Jimmy </t>
  </si>
  <si>
    <t>ISMC425</t>
  </si>
  <si>
    <t>一葉隨心：花葉相伴的自我覺察工作坊</t>
  </si>
  <si>
    <t>One Leaf, One Heart: Workshop on Self-awareness with Floral Art</t>
  </si>
  <si>
    <t>At the end of the activity, students will be able to:
1. Understand the "Flower is Heart" concept; 
2. Express self-compassion and appreciation with non-judgemental attitude; and
3. Apply floristry techniques at home as a daily self-care practice.</t>
  </si>
  <si>
    <t>Japanese Sogetsu Ikebana highly values "communing with flowers." Through the process of arranging flowers, creators are able to feel and accept their current state of being, freely expressing their thoughts and feelings through their work.
This workshop invites participants to touch the textures of the plants and observe the natural postures of the branches and leaves. Through this silent dialogue with nature, you will cultivate awareness of your inner state, and learn to appreciate both yourself and others with an attitude of non-judgment and acceptance.</t>
  </si>
  <si>
    <t>Fiona</t>
  </si>
  <si>
    <t>LUK</t>
  </si>
  <si>
    <t>Sogetsu Teacher (3rd Grade), Counsellor</t>
  </si>
  <si>
    <t>King Keung</t>
  </si>
  <si>
    <t>LAW</t>
  </si>
  <si>
    <t>Counsellor, Senior Research Assistant</t>
  </si>
  <si>
    <t>ISMC426</t>
  </si>
  <si>
    <t xml:space="preserve">正向健康「素」人講座 </t>
  </si>
  <si>
    <t>Positive &amp; Healthy Living Seminar</t>
  </si>
  <si>
    <t xml:space="preserve">At the end of the activity, students will be able to:
1. Adopt healthier alternatives in their daily lives;
2. Cultivate positive values and behaviours in their personal development; and
3. Recognise that they are supported in addressing the challenges they encounter. </t>
  </si>
  <si>
    <t>Positive &amp; Healthy Living Seminar is one of the activities under the “Journey+” Youth Health Education Programme, funded by The Hong Kong Jockey Club in partnership with Hong Kong Children and Youth Services.
This seminar introduces the basic concepts and definitions of addiction, explores its various forms and associated risks, and helps participants understand the importance of making healthy lifestyle choices. It also provides information on available resources and support services for those who may need assistance.</t>
  </si>
  <si>
    <t>ISMC427</t>
  </si>
  <si>
    <t>Basic Peer Counselling Skills Training</t>
  </si>
  <si>
    <t>At the end of the activity, students will be able to:
1. Cultivate empathy, active listening, and effective communication skills; 
2. Equip with basic mental health knowledge and communication skills in order to identify students with psychological needs and provide peer support; and  
3. Enhance psychological well-being and self-awareness.</t>
  </si>
  <si>
    <t>Basic Counselling Skills Training is one of the core training components of the Peer Counsellor Scheme. Selected peer counsellors will participate in two 2-hour workshop lessons designed to enhance their self-awareness, strengthen their emotional readiness, and develop the essential communication skills required to support peers who may be experiencing emotional distress.
Each lesson comprises a structured introduction to basic communication and counselling skills, supplemented by case discussions, demonstrations, and role-play exercises. Through these interactive and experiential learning activities, participants will build the confidence and competence needed to provide appropriate peer support in a responsible and empathetic manner.</t>
  </si>
  <si>
    <t xml:space="preserve">Course-based (Consecutive Lessons) </t>
    <phoneticPr fontId="16" type="noConversion"/>
  </si>
  <si>
    <t xml:space="preserve">Michelle </t>
  </si>
  <si>
    <t>Assistant Counsellor, Office of Student Affairs, Lingnan University; Registered Counselling Psychologist, HKPS</t>
  </si>
  <si>
    <t>ISMC428</t>
  </si>
  <si>
    <t>QPR Training - Learn to Question, Persuade, and Refer: Essential Suicide Prevention Training</t>
  </si>
  <si>
    <t>At the end of the activity, students will be able to:
1.  Identify common causes of sucidal behavior;
2.  Recognise the warning signs of suicide;
3.  Demonstrate how to use the QPR method: Question, Persuade, and Refer;
4.  Learn more about basic suicide prevention strategies;
5.  Locate appropriate help and support for someone in crisis; and
6.  Apply Question, Persuade, and Refer skills through role-playing practice.</t>
  </si>
  <si>
    <t>QPR Training is one of the core training components of the Peer Counsellor Scheme. Selected peer counsellors will participate in a 2-hour workshop to learn about suicide prevention techniques. QPR stands for Question, Persuade, and Refer—three simple steps that anyone can learn to help save a life from suicide.
During this training, participants will learn how to recognise the warning signs of a suicide crisis and how to effectively question, persuade, and refer individuals to appropriate support resources. Developed in 1995 by Dr. Paul Quinnett as an emergency mental health intervention, this programme has since become one of the most widely implemented suicide prevention initiatives worldwide, including in universities. Upon completing the training, each participant will receive a certificate issued by the QPR Institute.</t>
  </si>
  <si>
    <t xml:space="preserve">Mr. </t>
    <phoneticPr fontId="16" type="noConversion"/>
  </si>
  <si>
    <t xml:space="preserve">Shun Pong </t>
    <phoneticPr fontId="16" type="noConversion"/>
  </si>
  <si>
    <t>YIP</t>
    <phoneticPr fontId="16" type="noConversion"/>
  </si>
  <si>
    <t>Registered Social Worker, Certified QPR Gatekeeper Instructor</t>
    <phoneticPr fontId="16" type="noConversion"/>
  </si>
  <si>
    <t>ISMC332</t>
  </si>
  <si>
    <t>探索特殊教育需要的全方位支援與服務</t>
  </si>
  <si>
    <t>Exploring Special Educational Needs: Our Comprehensive Services and Support</t>
  </si>
  <si>
    <t>At the end of the activity, students will be able to:
1. Have a basic comprehension of the various types of students with Special Educational Needs (SEN) at the university;
2. Get to know the services offered by the Office of Student Affairs, SEN Support; and
3. Understand the registration and application process for the SEN Support service and related accommodations</t>
  </si>
  <si>
    <t>Participants can understand the type of Special Educational Needs (SEN) students at the university. It will cover the services available through the Office of Student Affairs SEN Support, as well as guidance on registering for the SEN Support service and applying for relevant accommodations.</t>
  </si>
  <si>
    <t xml:space="preserve">Amy </t>
  </si>
  <si>
    <t>Student Affairs Officer</t>
  </si>
  <si>
    <t xml:space="preserve">Jessica </t>
  </si>
  <si>
    <t>Senior Student Affairs Officer</t>
  </si>
  <si>
    <t>https://lingnan.zoom.us/j/93742717422?pwd=wAva49la0akGctV0t0c8Mzkb4mMbt9.1</t>
  </si>
  <si>
    <t>937 4271 7422</t>
  </si>
  <si>
    <t>ISMC429</t>
  </si>
  <si>
    <t>好心情星球燈工作坊</t>
  </si>
  <si>
    <t>Light Up Your Mood: DIY Planet Lamp Workshop</t>
  </si>
  <si>
    <t xml:space="preserve">At the end of the activity, students will be able to:
1. Understand the techniques of crafting a planet lamp; and 
2. Engage in mindful crafting through creative hands-on lamp-making as a method of emotional self-care and stress reduction.
</t>
  </si>
  <si>
    <t>This workshop is a relaxing and fun activity where you will learn how to design and craft your own unique lamp through alcohol ink art. As you focus on each step, you’ll feel calm and peaceful. There’s no need to be perfect—just enjoy the process and take your time. Immense in the crafting helps you slow down, feel less stressed, and express your feelings in a gentle and creative way.</t>
  </si>
  <si>
    <t>Judy</t>
  </si>
  <si>
    <t>Mental Health Education Officer, 
New Life Psychiatric Rehabilitation Association</t>
  </si>
  <si>
    <t>ISMC033</t>
  </si>
  <si>
    <t>精神健康急救證書課程</t>
  </si>
  <si>
    <t>Mental Health First Aid Certificate Course</t>
  </si>
  <si>
    <t xml:space="preserve">At the end of the activity, students will be able to:
1. Gain a foundational understanding of common mental health issues and their signs and symptoms;
2. Learn practical skills to provide initial support to individuals experiencing mental health challenges; and
3. Understand appropriate ways to offer help and refer individuals to professional and campus support services.
</t>
  </si>
  <si>
    <t xml:space="preserve">This course provides participants with essential knowledge and practical skills in Mental Health First Aid. It covers common mental health concerns, early identification of warning signs, and effective ways to provide immediate support. Participants will also learn how to encourage help-seeking behavior and become familiar with available professional and campus mental health resources.
</t>
  </si>
  <si>
    <t>LYH 31920</t>
  </si>
  <si>
    <t xml:space="preserve">Iris </t>
  </si>
  <si>
    <t>ISMC430</t>
  </si>
  <si>
    <t>同理探索劇場 - 致命傳播</t>
  </si>
  <si>
    <t>Empathetic Journey of Life - Fatal Transmission</t>
  </si>
  <si>
    <t>At the end of the activity, students will be able to:
1. Understand the situation of ethnic minorities integrating into the community;
2. Empathise with their needs; and
3. Recognise the causes of racial discrimination.</t>
  </si>
  <si>
    <t xml:space="preserve">An interactive intervention method, supported by theoretical foundations. It aims to guide participants to explore social issues through detective-style role-playing, allowing them to experience and understand the lives of others and thereby cultivate empathy.
</t>
  </si>
  <si>
    <t>LKKG03</t>
  </si>
  <si>
    <t>Terra</t>
  </si>
  <si>
    <t>TING</t>
  </si>
  <si>
    <t>Service Development Manager,Table For Choices Limited</t>
  </si>
  <si>
    <t>ISMC431</t>
  </si>
  <si>
    <t>對話體驗 - 無聲解密</t>
  </si>
  <si>
    <t>Dialogue Experience - Silence Decoding</t>
  </si>
  <si>
    <t>At the end of the activity, students will be able to:
1. Interpret and understand non-verbal cues in silent communication;
2. Enhance their listening and observational skills in the absence of verbal information; and
3. Appreciate the challenges and perspectives of individuals with hearing impairments.</t>
  </si>
  <si>
    <t>This workshop offers an immersive and enlightening experience that helps participants understand silent communication. Through the Dialogue Experience – Silence Decoding, participants will explore the power of non-verbal cues and develop essential observational skills. Additionally, this unique experience provides valuable insights into the challenges faced by individuals with hearing impairments, fostering empathy and awareness.</t>
  </si>
  <si>
    <t>Visit</t>
  </si>
  <si>
    <t>Dialogue in the dark</t>
  </si>
  <si>
    <t>ISMC432</t>
  </si>
  <si>
    <t>芳療伸展減壓工作坊</t>
  </si>
  <si>
    <t>Aromatherapy Stretch &amp; De-Stress Workshop</t>
  </si>
  <si>
    <t>At the end of the activity, students will be able to:
1.	Release stress through guided stretching combined with calming aromatherapy, promoting relaxation and mental clarity;
2.	Connect with their breath, body, and senses, fostering mindfulness and self-care practices that support overall well-being; and
3.	Learn simple techniques to restore vitality, improve mood, and cultivate resilience for managing daily academic and personal challenges.</t>
  </si>
  <si>
    <t>In this workshop, through gentle stretching exercises paired with soothing essential oils, participants will discover how movement and scent can work together to calm the nervous system, ease muscle tension, and uplift the spirit. This workshop offers a nurturing space for students to pause from their busy schedules, practice mindfulness, and leave with practical tools they can use anytime to restore balance and enhance emotional well-being.</t>
  </si>
  <si>
    <t>Instructor of Hong Kong Laughter Yoga Academy</t>
  </si>
  <si>
    <t>ISMC433</t>
  </si>
  <si>
    <t>沿途有「寵」— 動物療癒放鬆之旅</t>
  </si>
  <si>
    <t>Relaxation Journey: Animal-Assisted Calm Before Exams</t>
  </si>
  <si>
    <t>At the end of the activity, students will be able to:
1. Recognise the benefits of animal-assisted activities for reducing stress and anxiety; and
2. Experience a calming environment that promotes mental well-being before exams.</t>
  </si>
  <si>
    <t>This unique pre-exam workshop offers students a calming and supportive environment through animal-assisted activities. Interacting with therapy animals helps reduce stress and anxiety, promoting emotional well-being and mindfulness before exams. The session provides a relaxing break from academic pressure, allowing students to recharge, regain focus, and approach their exams with confidence and a positive mindset.</t>
  </si>
  <si>
    <t>LYH 110</t>
  </si>
  <si>
    <t>Representative of Hong Kong Guide Dogs Association</t>
  </si>
  <si>
    <t>ISMC232</t>
  </si>
  <si>
    <t>CEAL/ELSS</t>
  </si>
  <si>
    <t>Speed-friending</t>
  </si>
  <si>
    <t>At the end of the activity, students will be able to:
1. Start and maintain short conversations with new people;
2. Ask and answer personal questions with more confidence; and
3. Share key details about their conversation partners to the group.</t>
  </si>
  <si>
    <t>Looking for a fun way to practice your English and expand your social circle? Join us for Speed-friending, where you can meet new people and make friends in a relaxed, friendly atmosphere.</t>
  </si>
  <si>
    <t xml:space="preserve">LCHUG10 </t>
  </si>
  <si>
    <t>ELSS</t>
  </si>
  <si>
    <t>Visiting English Tutors</t>
  </si>
  <si>
    <t>Angela Genie Baena ARCAY</t>
  </si>
  <si>
    <t>angela.arcay@ln.edu.hk</t>
  </si>
  <si>
    <t>ISMC233</t>
  </si>
  <si>
    <t>International Games Night</t>
  </si>
  <si>
    <t>At the end of the activity, students will be able to:
1. Follow game rules and instructions in English;
2. Communicate with teammates during gameplay; and
3. Explain the rules of one game to others.</t>
  </si>
  <si>
    <t>Want to practice English while having a great time? Come to International Games Night, where you can enjoy a variety of fun indoor games from different countries and connect with fellow students.</t>
  </si>
  <si>
    <t>ISMC181</t>
  </si>
  <si>
    <t>Scavenger Hunt</t>
  </si>
  <si>
    <t>At the end of the activity, students will be able to:
1. Interpret English clues and riddles;
2. Collaborate with teammates using English to solve challenges; and
3. Present their team's findings or process in English.</t>
  </si>
  <si>
    <t>Ready for an adventure? Team up with other students and put your English skills to the test as you follow clues and solve riddles to complete a series of exciting challenges around campus.</t>
  </si>
  <si>
    <t>LBY304</t>
  </si>
  <si>
    <t>ISMC408</t>
  </si>
  <si>
    <t>Halloween Movie Night</t>
  </si>
  <si>
    <t>At the end of the activity, students will be able to:
1. Express and exchange opinions about the film with peers;
2.  Use new Halloween-related vocabulary; and
3. Identify and describe key cultural traditions associated with Halloween.</t>
  </si>
  <si>
    <t>Get into the Halloween spirit with a not-so-scary movie night! Join us for a classic Halloween film in English, enjoy some tasty American candies, and feel free to wear a costume if you'd like to make the evening even more festive.</t>
  </si>
  <si>
    <t>ISMC234</t>
  </si>
  <si>
    <t>Hike with the VETs</t>
  </si>
  <si>
    <t>At the end of the activity, students will be able to:
1. Reflect on and share their personal experiences with nature and exercise;
2.  Hold extended conversations in English on everyday topics while walking; and
3. Describe their surroundings, express feelings, and give simple directions or suggestions.</t>
  </si>
  <si>
    <t>Escape the lecture halls and refresh your mind with a hike in the great outdoors. This is a great chance to practice conversational English while getting some exercise and enjoying nature.</t>
  </si>
  <si>
    <t>Fu Tei Country Trail (off-campus)</t>
  </si>
  <si>
    <t>South Gate</t>
  </si>
  <si>
    <t>Please wear clothes that you feel comfortable moving around in.</t>
  </si>
  <si>
    <t>ISMC409</t>
  </si>
  <si>
    <t>Oil Street Art Space Visit</t>
  </si>
  <si>
    <t>At the end of the activity, students will be able to:
1. Read and understand exhibit descriptions in English;
2. Ask questions and obtain more information in English; and
3. Summarize and present one interesting exhibit to the group.</t>
  </si>
  <si>
    <t>Explore culture and history with the VETs on a guided museum visit. You'll have the opportunity to practice your English in a real-world setting while discovering something new.</t>
  </si>
  <si>
    <t>Oi! (off-campus)</t>
  </si>
  <si>
    <t>12 Oil Street, North Point</t>
  </si>
  <si>
    <t>ISMC311</t>
  </si>
  <si>
    <t>Survival Cantonese Class for New Non-local Students</t>
  </si>
  <si>
    <t>Survival Cantonese Class for New Non-local Students (For International Students)</t>
  </si>
  <si>
    <t>At the end of the activity, students will be able to:
1.  Understand and use basic Cantonese phrases and vocabulary related to daily life situations;
2.  Communicate more effectively with locals and build relationships by using Cantonese to greet, introduce oneself, and express simple opinions and preferences; and
3. Navigate cultural differences and avoid misunderstandings by understanding social etiquette and Cantonese culture.</t>
  </si>
  <si>
    <t>During the class, students will learn some basic Cantonese phrases and vocabulary related to everyday situations through interactive activities and conversational practice.</t>
  </si>
  <si>
    <t>ISMC242</t>
  </si>
  <si>
    <t>Survival Cantonese Class for New Non-local Students (For Mainland Students)</t>
  </si>
  <si>
    <t>ISMC434</t>
  </si>
  <si>
    <t xml:space="preserve">Enhancement Programme for Outgoing Exchange Students </t>
  </si>
  <si>
    <t>2026 (November) Session A</t>
  </si>
  <si>
    <t>At the end of the activity, students will be able to:
1. Develop a sense of psychological readiness and preparedness for their study abroad;
2.  Enhance their self-confidence and develop a positive attitude towards challenges;
3. Strengthen their social communication skills; and
4. Build up a network of support and friendship with fellow outgoing exchange students.</t>
  </si>
  <si>
    <t xml:space="preserve">This talk will address the different stages of psychological adjustments and provide tips for the students on their adaptation. They will listen to sharing from returning students to learn some tips on how to strive for a balance between study and travel; overcome the challenges and start conversations with new friends in a smart way. </t>
  </si>
  <si>
    <t>Learning Commons</t>
  </si>
  <si>
    <t>Counsellor of OSA</t>
  </si>
  <si>
    <t>Visiting English Toturs from CEAL</t>
  </si>
  <si>
    <t>Gigi Chan</t>
  </si>
  <si>
    <t>gigichan2@ln.edu.hk</t>
  </si>
  <si>
    <t>Joey Leung</t>
  </si>
  <si>
    <t>2026 (November)
Session B</t>
  </si>
  <si>
    <t>ISMC337</t>
  </si>
  <si>
    <t>Networking Activity for Non-local Students</t>
  </si>
  <si>
    <t>At the end of the activity, students will be able to:
1. Better adapt to life at Lingnan and in Hong Kong by listening to the experiences and advice shared by senior non-local students;
2.  Enhance their communication skills and expand their social networks by participating in tea gatherings, making desserts, or playing cultural games with their fellow non-local students; and 
3. Develop an understanding and appreciation for different cultures through cultural exchange and interaction with peers from diverse backgrounds.</t>
  </si>
  <si>
    <t xml:space="preserve">During the activity, students will have the opportunity to listen to senior non-local students share their experience and tips for better navigating study and campus life at Lingnan and  in Hong Kong; they will also have a chance to develop friendships and support networks with other non-local students. </t>
  </si>
  <si>
    <t>LYH110/
LYH31920</t>
  </si>
  <si>
    <t xml:space="preserve">Athena </t>
  </si>
  <si>
    <t>He</t>
  </si>
  <si>
    <t xml:space="preserve">Assistant Student Affairs Manager I </t>
  </si>
  <si>
    <t>Senior Non-local Students</t>
  </si>
  <si>
    <t>IAMC062</t>
  </si>
  <si>
    <t>I15</t>
  </si>
  <si>
    <t>嶺藝計劃 - 噍啖細味</t>
    <phoneticPr fontId="0" type="noConversion"/>
  </si>
  <si>
    <t>LingArt Programme - Savoury Delights</t>
    <phoneticPr fontId="0" type="noConversion"/>
  </si>
  <si>
    <t>中國書法之行書與楷書</t>
  </si>
  <si>
    <t>Fundamental Chinese Calligraphy - Xing Shu &amp; Kai Shu</t>
  </si>
  <si>
    <t>At the end of the activity, students will be able to:
1. Learn about the fundamental concepts of Chinese culture;
2. Practice Xing Shu and Kai Shu writing; and
3. Enjoy Chinese calligraphy.</t>
  </si>
  <si>
    <t>This course will introduce you to basic techniques and knowledge of Chinese calligraphy of Kai Shu and Xing Shu. You can practise Chinese calligraphy with professional guidance in class. By practising Chinese calligraphy, you can relieve yourelf of daily stress. Most importantly, you will be more concentrated and mindful in learning and practising Chinese calligraphy.</t>
  </si>
  <si>
    <t>Aesthetic Development</t>
  </si>
  <si>
    <t xml:space="preserve">Muk </t>
  </si>
  <si>
    <t>Senior ILP Instructor (Calligraphy), Member of Hong Kong Calligraphers' Association</t>
  </si>
  <si>
    <t>Michelle Cheung</t>
  </si>
  <si>
    <t>michellecheung@ln.edu.hk</t>
  </si>
  <si>
    <t>IAMC063</t>
  </si>
  <si>
    <t>中國書法之硬筆書法</t>
  </si>
  <si>
    <t>Fundamental Chinese Calligraphy - Hard Pen</t>
  </si>
  <si>
    <t>At the end of the activity, students will be able to:
1. Learn about the fundamental concepts of Chinese culture;
2. Practice hard pen writings; and
3. Enjoy Chinese calligraphy.</t>
  </si>
  <si>
    <t>This course will introduce you to basic techniques and knowledge of Chinese Hard Pen Calligraphy. You can practise Chinese calligraphy with professional guidance in class. By practising Chinese calligraphy, you can relieve yourself of daily stress. Most importantly, you will be more concentrated and mindful in learning and practising Chinese calligraphy.</t>
  </si>
  <si>
    <t>IAMC064</t>
  </si>
  <si>
    <t>I12</t>
  </si>
  <si>
    <t>中國畫（嶺南派）</t>
  </si>
  <si>
    <t xml:space="preserve">Chinese Painting (Lingnan School of Painting) </t>
  </si>
  <si>
    <t>Class I</t>
  </si>
  <si>
    <t>At the end of the activity, students will be able to:
1. Learn about the fundamental concepts of Chinese culture;
2. Practice Chinese painting techniques; and
3. Enjoy Chinese painting.</t>
  </si>
  <si>
    <t>This course will introduce you to basic knowledge and techniques of Chinese painting of Lingnan School. Under the teacher's professional guidance, you will experience the colours, structures and philosophy of Chinese painting of Lingnan school during the class.</t>
  </si>
  <si>
    <t>Wing-cheong</t>
  </si>
  <si>
    <t xml:space="preserve"> HO</t>
  </si>
  <si>
    <t>Senior ILP Instructor (Chinese Painting), Chinese Painter of the Lingnan School of Painting</t>
    <phoneticPr fontId="0" type="noConversion"/>
  </si>
  <si>
    <t>Class II</t>
  </si>
  <si>
    <t xml:space="preserve">Wing-cheong </t>
  </si>
  <si>
    <t>IAMC396</t>
  </si>
  <si>
    <t>嶺藝計劃 - 力學篤行</t>
    <phoneticPr fontId="0" type="noConversion"/>
  </si>
  <si>
    <t>LingArt Programme - Diligent Practice</t>
    <phoneticPr fontId="0" type="noConversion"/>
  </si>
  <si>
    <t xml:space="preserve">節目策劃與觀眾拓展 </t>
  </si>
  <si>
    <t>Arts Programme Planning and Audience Development</t>
  </si>
  <si>
    <t>At the end of the activity, students will be able to:
1. Learn how to apply essential marketing analysis skills in strategic decision-making;
2. Explore marketing frameworks to strategically position and promote art programmes; and
3. Recognise the role of engagement in education and community partnerships for audience growth.</t>
  </si>
  <si>
    <t>This lecture introduces art programmes planning from a marketing perspective. Whether you are an art lover or new to cultural promotion, you will learn insightful methods for programmes planning, particularly in the fields of art and creativity. It is designed to inspire creativity and help develop professional planning skills in the arts and audience engagement.</t>
  </si>
  <si>
    <t xml:space="preserve">Ying-yi </t>
  </si>
  <si>
    <t>Independent arts curator producer and arts writer, Research at 
Antiquities and Monuments Office</t>
  </si>
  <si>
    <t>IAMC397</t>
  </si>
  <si>
    <t>項目管理與預算規劃工作坊</t>
  </si>
  <si>
    <t>Project Management and Budget Planning Workshop</t>
  </si>
  <si>
    <t>At the end of the activity, students will be able to:
1. Understand the unique aspects and life cycle of art project management;
2. Develop practical skills to create effective project plans and budgets for art projects; and 
3. Learn skills in managing and keeping art projects on track to achieve targeted goals.</t>
  </si>
  <si>
    <t>This workshop introduces essential skills in managing art projects and budgeting. Through expert insights, participants will learn how to write project plans and estimate budgets. This workshop is ideal for art lovers, beginners, or interested in arts, project management and curating.</t>
  </si>
  <si>
    <t>IAMC398</t>
  </si>
  <si>
    <t>不同領域的策展思維  </t>
  </si>
  <si>
    <t>Diversity in the Curatorial Field - From Concept to Space</t>
  </si>
  <si>
    <t xml:space="preserve">At the end of the activity, students will be able to:
1. Understand the roles of curators and explain the basic steps of curating;
2. Explore different curatorial approaches in various art settings like performances, festivals, exhibitions, and fairs; and  
3. Learn about ethical considerations in curating and develop essential curatorial skills to create and manage art projects. </t>
  </si>
  <si>
    <t>This seminar will introduce you to the world of art curation. Through expert insights, you will explore diverse curatorial approaches across visual art exhibitions, performing arts, community art festivals, and art fairs. Learn what it takes to bring art programmess to life, from conceptualising ideas to managing and executing exceptional art projects.</t>
  </si>
  <si>
    <t>Westley</t>
  </si>
  <si>
    <t>Creative Director at Wholly Wholly
Founding Curator of Upper Deck Tai Nan
Visiting Lecturer at the Hong Kong Polytechnic University 
Founder of @ink.brush.cit</t>
  </si>
  <si>
    <t>IAMC399</t>
  </si>
  <si>
    <t>策展實踐工作坊  </t>
  </si>
  <si>
    <t>Curatorial Practice Workshop</t>
  </si>
  <si>
    <t>At the end of the activity, students will be able to:
1. Develop skills in designing exhibition themes and collaborating with artists;
2. Learn how to arrange exhibition layouts and create promotional materials targeted to specific audiences; and
3. Gain practical experience in promoting exhibitions, organizing educational activities, and managing basic budgets.</t>
  </si>
  <si>
    <t xml:space="preserve">This workshop offers a valuable opportunity to develop essential curating skills by guiding you through the entire process—from developing exhibition themes and selecting artists to planning space layouts and designing engaging audience experiences. Through expert's insights, participants will also learn practical knowledge and how to create effective promotional strategies, organise educational activities, and prepare a simple budget. </t>
  </si>
  <si>
    <t>WYL105</t>
  </si>
  <si>
    <t>y</t>
  </si>
  <si>
    <t>IAMC400</t>
  </si>
  <si>
    <t>社區文化導賞團</t>
  </si>
  <si>
    <t>Local Heritage Walking Tour</t>
  </si>
  <si>
    <t>藝文體驗 — 參觀「循聲覓道」展覽</t>
  </si>
  <si>
    <t xml:space="preserve">Cultural Walk to the "Lost and Sound Exhibition Series" </t>
  </si>
  <si>
    <t>At the end of the activity, students will be able to:
1. Learn more about the broad and profound Chinese culture; 
2. Learn about the cultural connotations of Sam Tung Uk through the demonstration of intangible cultural heritage items of traditional villages; and   
3. Experience elements of village life and culture of the old days from different perspectives.</t>
  </si>
  <si>
    <t>This activity will explore the exhibition of the "Lost and Sound Exhibition Series" that showcases traditional culture through multimedia and artistic elements. It is divided into three sections—Festivals and Craftsmanship, Daily Household Objects, and Ceremonial Artifacts and traditional Hakka life and architecture, comprehensively local intangible cultural heritage artifacts. Participants can gain insights from knowledgeable guides on this immersive journey into the past.</t>
  </si>
  <si>
    <t>Hong Kong Intangible Cultural Heritage Centre
Sam Tung Uk Museum</t>
  </si>
  <si>
    <t>Docent, Hong Kong Intangible Cultural Heritage Centre</t>
  </si>
  <si>
    <t>Tuen Wan, MTR</t>
  </si>
  <si>
    <t>IAMC401</t>
  </si>
  <si>
    <t>嶺藝計劃 - 噍啖細味</t>
  </si>
  <si>
    <t>香港飲食研究 — 香港茶餐廳食品微縮模型工作坊</t>
  </si>
  <si>
    <t xml:space="preserve">Tea Cafe Miniature Culinary Art Workshop </t>
  </si>
  <si>
    <t>At the end of the activity, students will be able to:
1. Understand more about traditional Hong Kong-style tea cafe culture and food cultural aesthetics; 
2. Explore creativity and basic skills in in clay modeling and artistic design; and
3. Gain a deeper appreciation for the significance of food in the heritage of Chinese culinary culture.</t>
  </si>
  <si>
    <t>Discover vibrant cultural history by creating miniature clay art of a traditional tea cafe. Guided by expert instructors, this fun workshop celebrates food heritage, bringing an iconic symbol to life while unleashing your creativity!</t>
  </si>
  <si>
    <t>Bonnie</t>
  </si>
  <si>
    <t xml:space="preserve">Instructor </t>
  </si>
  <si>
    <t>IAMC402</t>
  </si>
  <si>
    <t xml:space="preserve">文化藝術的政策與可持續發展    </t>
  </si>
  <si>
    <t>Cultural Policy and Sustainable Development</t>
  </si>
  <si>
    <t>At the end of the activity, students will be able to:
1.  Understand how cultural policies support sustainable development;
2.  Learn strategies to promote traditional culture and creative industries; and
3.  Explore ways to make art and cultural activities environmentally and socially sustainable.</t>
  </si>
  <si>
    <t>Explore the intersection of cultural policy and sustainable development in this lecture, which demonstrates how art drives ecological and social progress. Discover key local cultural organisations, funding opportunities, and strategic initiatives designed to foster traditional Chinese culture, creative industries, international exchanges, and a vibrant cultural ecosystem.</t>
  </si>
  <si>
    <t>IAMC403</t>
  </si>
  <si>
    <t>藝術資助申請工作坊</t>
  </si>
  <si>
    <t>The Art of Writing Proposals and Grant Applications</t>
  </si>
  <si>
    <t>At the end of the activity, students will be able to:
1.  Understand key components of effective proposals and grant applications;
2.  Learn how to address review criteria and select suitable funding programs; and
3.  Develop skills to create summaries, recommendation letters, and portfolios.</t>
  </si>
  <si>
    <t>Gain artistic insight and practical skills in this workshop designed to help you write successful proposals and grant applications. You will learn how to navigate review criteria, select the right funding programs, craft compelling summaries, and prepare standout recommendation letters, support letters, and portfolios. Build your competitive edge and advance your career in the cultural and arts sectors.</t>
  </si>
  <si>
    <t>IAMC404</t>
  </si>
  <si>
    <t>LingArt Programme - Savoury Delights</t>
  </si>
  <si>
    <t>香港飲食研究 — 從香港飲食文化探索生活</t>
  </si>
  <si>
    <t>Culinary Aesthetics - Exploring Life Through Hong Kong's Food Culture</t>
  </si>
  <si>
    <t xml:space="preserve">At the end of the activity, students will be able to:
1. Gain insights into the principles of culinary aesthetics in Hong Kong; 
2. Learn about the historical and cultural contexts that shape Hong Kong's diverse food scene; and
3. Gain a deeper appreciation for the significance of food in the heritage of Chinese culinary culture.                                                                                                                               </t>
  </si>
  <si>
    <t>This programme is designed to provide insights into the principles of culinary aesthetics while exploring the rich historical and cultural contexts that shape Hong Kong's diverse food scene. Participants will delve into the artistry behind food preparation and presentation, understanding the intricate connections between culinary practices and personal narratives. Through expert insights and immersive dining experiences, students will gain a deeper appreciation for the significance of food in the heritage of Chinese culinary culture.</t>
  </si>
  <si>
    <t xml:space="preserve"> Yan-ho	</t>
  </si>
  <si>
    <t xml:space="preserve"> SIU</t>
  </si>
  <si>
    <t>Lecturer I, Academy of Chinese, History, Religion and Philosophy at the Hong Kong Baptist University</t>
  </si>
  <si>
    <t>IAMC406</t>
  </si>
  <si>
    <t>冰島毛線編織袋工作坊</t>
  </si>
  <si>
    <t>Giant Yarn Crochet Bag Workshop</t>
  </si>
  <si>
    <t xml:space="preserve">At the end of the activity, students will be able to:
1. Understand the basic techniques of crocheting with giant yarn;
2. Create and assemble their own giant yarn crochet bag; and
3. Apply creativity and personalization to design a unique, functional bag.
</t>
  </si>
  <si>
    <t>This workshop offers participants the chance to create their own stylish, oversized crochet bag using thick, chunky yarn. Perfect for both beginners and experienced crafters, it provides step-by-step guidance to crochet a durable and fashionable bag. Participants will learn essential crochet techniques and leave with a unique, handmade accessory that is both practical and eye-catching—plus, enjoy a relaxing and enjoyable crafting experience.</t>
  </si>
  <si>
    <t>Koluckei Studio</t>
  </si>
  <si>
    <t>IAMC386</t>
  </si>
  <si>
    <t>I10</t>
  </si>
  <si>
    <t>唱藝術？——合唱藝術與神學美學</t>
  </si>
  <si>
    <t>Singing Art? - Choral Art and Theological Aesthetics</t>
  </si>
  <si>
    <t>At the end of the activity, students will be able to:
1. Enjoy choral ensembleship; and
2. Learn about how art and Christian faith are connected.</t>
  </si>
  <si>
    <t>What is the relationship between Christian faith and art? How can beauty become a path to knowing God?
The core focus of theological aesthetics lies in God’s self-revelation through beauty. Transcending verbal language, beauty allows humanity to perceive divine truth. Through the art of choral singing, you will experience how beauty and faith are profoundly intertwined with human life.</t>
  </si>
  <si>
    <t>Pui Yu</t>
    <phoneticPr fontId="16" type="noConversion"/>
  </si>
  <si>
    <t>HUNG</t>
  </si>
  <si>
    <t xml:space="preserve">Choir Conductor </t>
    <phoneticPr fontId="16" type="noConversion"/>
  </si>
  <si>
    <t>Esmond</t>
  </si>
  <si>
    <t>LIM</t>
  </si>
  <si>
    <t>Senior Pastor of Sen Lok Christian Church, Choir Conductor</t>
    <phoneticPr fontId="16" type="noConversion"/>
  </si>
  <si>
    <t>IAMC387</t>
  </si>
  <si>
    <t>夜之韻——LUCC小型音樂會</t>
  </si>
  <si>
    <t>Good Time Stories - LUCC Mini Concert</t>
  </si>
  <si>
    <t xml:space="preserve">At the end of the activity, students will be able to:
1. Expose to choral works of different languages and styles; and
2. Learn to appreciate choral works.
</t>
  </si>
  <si>
    <t xml:space="preserve">A nighttime mini concert performed by Lingnan University Chrisitian Choir, featuring sacred choral pieces of different languages and styles. Participants can enjoy the live performance, immerse into the peaceful mood and positive messages of the music. 
</t>
  </si>
  <si>
    <t xml:space="preserve">Lingnan University Christian Choir </t>
    <phoneticPr fontId="16" type="noConversion"/>
  </si>
  <si>
    <t>IAMC388</t>
  </si>
  <si>
    <t>I06</t>
  </si>
  <si>
    <t>玩音樂？——社群音樂與合唱</t>
  </si>
  <si>
    <t>Playing Music? - Community Music and Choral Ensemble</t>
  </si>
  <si>
    <t xml:space="preserve">At the end of the activity, students will be able to:
1. Enjoy choral ensembleship; 
2. Learn to express oneself through body movement and music, including interactive group singing, rhythmic movement and improvisation; and
3. Learn about how music connects idividuals. </t>
  </si>
  <si>
    <t>The concept of community music traces its origins to the development of community art in the United Kingdom. It refers to people-centred music rooted in local communities, guided by the core principle that everyone can join in "playing music".
Participants will experience a range of musical activities including interactive group singing, rhythmic movement and improvisation. Through these sessions, they will learn about the core elements and formats of various community music and gain hands-on introductory experience of community music.</t>
  </si>
  <si>
    <t>Kristie</t>
  </si>
  <si>
    <t>AU</t>
  </si>
  <si>
    <t>Musician and Choir Conductor</t>
  </si>
  <si>
    <t>Pui Yu</t>
  </si>
  <si>
    <t xml:space="preserve">Choir Conductor </t>
  </si>
  <si>
    <t>IAMC405</t>
  </si>
  <si>
    <t>曼陀羅彩石工作坊：藝術、文化與靜心體驗 及 CC Mentor 打氣會</t>
  </si>
  <si>
    <t>Mandala Stone Art Workshop: Art, Culture &amp; Mindfulness &amp; CC Mentor Meet-Up</t>
  </si>
  <si>
    <t>At the end of the activity, students will be able to:
1. Understand the cultural background and symbolism of Mandala art and its connection to mindfulness and self-expression;
2.  Apply basic Mandala art techniques to create a personalised stone painting using colours, patterns, and geometric designs; and
3. Develop awareness of the benefits of creative activities for relaxation, focus, and personal well-being, particularly during stressful periods.</t>
  </si>
  <si>
    <t>Join us for a relaxing and creative art workshop! In this engaging workshop, you'll discover the cultural background of Mandala art and its connection to mindfulness, balance, and self-expression. Participants will paint their own mandala designs on stones while enjoying a calm and welcoming atmosphere. Whether you're looking to de-stress before exams or simply enjoy a creative break, this workshop is for you! CC Mentors would also like to take this opportunity to cheer you up before the exams and listen to your thoughts and questions about the Core Curriculum! The workshop will be conducted in Cantonese with English translation available.</t>
  </si>
  <si>
    <t>LKKG05</t>
  </si>
  <si>
    <t>Felix</t>
  </si>
  <si>
    <t>YIU</t>
  </si>
  <si>
    <t>Local Artist</t>
  </si>
  <si>
    <t>Visit OCC website for details at https://ln.edu.hk/occ/events/2026-27/manala-stone</t>
  </si>
  <si>
    <t>IHMC270</t>
  </si>
  <si>
    <t>Exploration Week</t>
  </si>
  <si>
    <t>可持續校園 - 嶺南生物多樣性導賞團</t>
  </si>
  <si>
    <t xml:space="preserve">A Guided Tour to Introduce Biodiversity in Lingnan </t>
  </si>
  <si>
    <t>At the end of the activity, students will be able to:
1. Understand the concept of biodiversity and sustainability; 
2. Realise the social and environmental impacts brought by human activities;
3. Raise awareness of sustainable development and eco-system on campus; and 
4. Appreciate the biodiversity in Lingnan Campus.</t>
  </si>
  <si>
    <t>Biodiversity is the variability among living organisms. This variability is not only important for organisms to adapt to changes in their physical environment and perform different roles and functions in their living milieu; humans also derive a wide range of benefits from biodiversity. This tour will introduce the concept of biodiversity and sustainability through exploring and appreciating the biodiversity on campus.</t>
  </si>
  <si>
    <t>Residential Education</t>
  </si>
  <si>
    <t>RE</t>
  </si>
  <si>
    <t>Lingnan campus
(Assembly Point: Main Entrance)</t>
  </si>
  <si>
    <t>Prof.</t>
  </si>
  <si>
    <t>Assistant Professor, Science Unit</t>
  </si>
  <si>
    <t>Sherry Liu</t>
  </si>
  <si>
    <t>sherryliu@ln.edu.hk</t>
  </si>
  <si>
    <t>IHMC430</t>
  </si>
  <si>
    <t>TPRS Cantonese Learning Peers Programme</t>
  </si>
  <si>
    <t>At the end of the activity, students will be able to:
1. Make friends with incoming exchange students,
2. Have hands-on experience in teaching Cantonese using TPRS approach,
3. Know more about foreign language and culture</t>
  </si>
  <si>
    <t>The instructor is an alumni of Lingnan University, where he will share his own experience on going for academic exchange. The sharing will be followed by a brief introduction of learning a foreign language using the TPRS approach to facilitate students to overcome language barriers when visiting a foreign country.</t>
  </si>
  <si>
    <t>Hok Lam</t>
  </si>
  <si>
    <t>PUN</t>
  </si>
  <si>
    <t>Founder of CantoNet</t>
  </si>
  <si>
    <t>IHMC535</t>
  </si>
  <si>
    <t>種植工作坊</t>
  </si>
  <si>
    <t>SDG Series - Workshop on Planting and Sowing</t>
  </si>
  <si>
    <t xml:space="preserve">At the end of the activity, students will be able to:
1. Learn basic planting skills and knowledge;
2. Review and reflect on the lifestyle when living in student hostels; and
3. Get to know friends who love gardening and green life. </t>
  </si>
  <si>
    <t>Participants will start sowing plant species in the garden plot, learn about hydroponic farming and take hydroponic farming machine home for farming favourable vegetables!</t>
  </si>
  <si>
    <t>Gardening Plot at SEK G/F</t>
  </si>
  <si>
    <t>Lai Sheung</t>
  </si>
  <si>
    <t>AU  YEUNG</t>
  </si>
  <si>
    <t>Senior Research Officer, 
Centre for Cultural Research and Development</t>
  </si>
  <si>
    <t>IHMC536</t>
  </si>
  <si>
    <t>Atypical Way to Learn a Language Efficiently</t>
  </si>
  <si>
    <t>At the end of the activity, students will be able to:
1. Acquire the skills to learn a new language quickly
2. Know more about the benefits of going for exchanges
3. Acquire tips to communicate with foreigners effectively</t>
  </si>
  <si>
    <t>Students may meet with foreign students in the campus, or they may wish to go for overseas exchange during their study. The seminar will introduce to students an efficient way to acquire a new langugae through the TPRS approach, where students are not required to study the grammar and sentence structure of that language.</t>
  </si>
  <si>
    <t>https://lingnan.zoom.us/j/2419056143?pwd=K2F3aTZIT3dRVlhwM2xsdDdRaWl5Zz09&amp;omn=95579284210</t>
  </si>
  <si>
    <t>241 905 6143</t>
  </si>
  <si>
    <t>IHMC537</t>
  </si>
  <si>
    <t>Innovate4Impact (i4i)</t>
  </si>
  <si>
    <t>以設計思維構思方案</t>
  </si>
  <si>
    <t>Innovate4Impact (i4i) - Design for Impact</t>
  </si>
  <si>
    <t xml:space="preserve">At the end of the activity, students will be able to:
1. understand the design thinking approach and develop a user-centric mindset in addressing identified issues/challenges; and
2. generate and develop innovative and viable solutions to complex problems based on users' needs. </t>
  </si>
  <si>
    <t xml:space="preserve">Learn how to identify current issues/challenges in our surrounding, and come up with feasible solutions through the design thinking approach. </t>
  </si>
  <si>
    <t>Programme Manager, Lingnan Entrepreneurship Initiative (LEI)</t>
  </si>
  <si>
    <t>Mr. Bmos Cheng</t>
  </si>
  <si>
    <t>IHMC538</t>
  </si>
  <si>
    <t>生成式AI工作坊</t>
  </si>
  <si>
    <t>Innovate4Impact (i4i) - GenAI &amp; AI Literacy</t>
  </si>
  <si>
    <t>At the end of the activity, students will be able to:
1. Understand the fundamentals of generative AI;
2. Apply generative AI for problem solving and content creation; and
3. Use AI tools to support their entrepreneurship ideas.</t>
  </si>
  <si>
    <t xml:space="preserve">A foundational session that demystifies generative AI: learn how to effectively and ethically use AI as your co-pilot through structured prompt engineering. </t>
  </si>
  <si>
    <t>Staff from OSA and LEI</t>
  </si>
  <si>
    <t>IHMC539</t>
  </si>
  <si>
    <t>可持續發展目標工作坊</t>
  </si>
  <si>
    <t>Innovate4Impact (i4i) - Sustainable Development Goals - gamified!</t>
  </si>
  <si>
    <t xml:space="preserve">At the end of the activity, students will be able to:
1. Understand the United Nations Sustainable Development Goals (SDGs) and their importance in addressing global challenges;
2. Reflect on personal values, beliefs, and biases in relation to sustainable development, prompting students to consider their role in creating positive change; and
3. Inspire a commitment to taking action towards achieving the SDGs in their own lives and communities, empowering them to be proactive agents of sustainable development. </t>
  </si>
  <si>
    <t xml:space="preserve">Learn about the Sustainable Development Goals (SDG) through a fun simulation game! </t>
  </si>
  <si>
    <t>Benita</t>
  </si>
  <si>
    <t>CHICK</t>
  </si>
  <si>
    <t>Founder &amp; CEO,Encompass HK</t>
  </si>
  <si>
    <t>Kwong</t>
  </si>
  <si>
    <t>SHAM</t>
  </si>
  <si>
    <t>Founder, Webgineer Limited</t>
  </si>
  <si>
    <t>IHMC540</t>
  </si>
  <si>
    <t>AI模型工作坊</t>
  </si>
  <si>
    <t>Innovate4Impact (i4i) - AI-backed Voice and Vision Hardware Development</t>
  </si>
  <si>
    <t>At the end of the activity, students will be able to:
1. understand the fundamentals of microcontrollers and open-sourced AI platforms to build edge AI devices; 
2. assemble fundamental edge computing hardware, connecting microcontrollers to sensory inputs and outputs;
3. configure an AI's role, personality and specialised knowledge base; and 
4. test and refine multi-modal physical interactions, successfully linking voice recognition and computer vision.</t>
  </si>
  <si>
    <t xml:space="preserve">In this hands-on hardware lab, learn how to build edge-AI devices that can see, hear and speak! Besides assembling microcontrollers, you will also programme custom system personas to create intelligent, multimodal hardware companions. </t>
  </si>
  <si>
    <t>IHMC541</t>
  </si>
  <si>
    <t>學生事務處主辦</t>
  </si>
  <si>
    <t>Office of Student Affairs (OSA)</t>
  </si>
  <si>
    <t>兩個女仔遊嶺南</t>
  </si>
  <si>
    <t>2 Girls in Lingnan</t>
  </si>
  <si>
    <t>At the end of the activity, students will be able to:
1. Know more about operating a new media platform; 
2. Know more about handling difficulties in life; and 
3. Grab some insights for their career planning.</t>
  </si>
  <si>
    <t>Popular Youtuber will be invited to be the guest speaker to share their expereince of operating a Youtube channel, content creation, and how they deal with difficulties in life.</t>
  </si>
  <si>
    <t>Youtuber</t>
  </si>
  <si>
    <t>IHMC542</t>
  </si>
  <si>
    <t>Hiking at Tuen Mun Trail: Lam Tei Reservoir (Beginner)</t>
  </si>
  <si>
    <t>At the end of the activity, students will be able to:
1. Improve their health via aerobic exercise;
2. Reduce their stress and anxiety through appreciation of natural environment; and
3. Make new friends and share with each other during the journey.</t>
  </si>
  <si>
    <t>To explore the hiking trails nearby the campus so promote physical and mental wellness through hiking.</t>
  </si>
  <si>
    <t>Wing On Plaza (hike to Lam Tei Reservoir)</t>
  </si>
  <si>
    <t>Kam Ming</t>
  </si>
  <si>
    <t>Assistant Professor of Teaching of WJYSIS</t>
  </si>
  <si>
    <t>IHMC543</t>
  </si>
  <si>
    <t>Hiking at Tuen Mun Trail: Lam Tei Reservoir (Advanced)</t>
  </si>
  <si>
    <t>At the end of the activity, students will be able to:
1. improve their health via aerobic exercise;
2. reduce their stress and anxiety through appreciation of natural environment; and
3. make new friends and share with each other during the journey.</t>
  </si>
  <si>
    <t>IHMC544</t>
  </si>
  <si>
    <t>生成式AI及3D打印工作坊</t>
  </si>
  <si>
    <t>Innovate4Impact (i4i) - GenAI for 3D Modelling and Printing</t>
  </si>
  <si>
    <t xml:space="preserve">At the end of the activity, students will be able to:
1. Inderstand the fundamentals of 3D modelling and 3D printing;
2. Learn how to utilise text-to-3D generative AI tools to design functional geometry; and
3. Fabricate a physical object. </t>
  </si>
  <si>
    <t xml:space="preserve">Learn how to fabricate physical products using 3D printing! Bypassing complex traditional CAD software, learn how to generate custom 3D files with GenAI. </t>
  </si>
  <si>
    <t>LBY301 &amp; LBY101</t>
  </si>
  <si>
    <t>IHMC277</t>
  </si>
  <si>
    <t>嶺南觀星人</t>
  </si>
  <si>
    <t>Lingnan Stargazer</t>
  </si>
  <si>
    <t>At the end of the activity, students will be able to:
1. learn how to use the binoculars and the telescope to enjoy and appreciate the interesting astronomical phenomena; and 
2. connect and share with other students about the astronomical phenomena.</t>
  </si>
  <si>
    <t>Tuen Mun is far from urban areas and the Lingnan Campus is a good place for stargazing. Through this activity, students will learn about basic knowledge of astronomy, and will have the chance to have hand-on experiences using telescopes for stargazing.</t>
  </si>
  <si>
    <t>MBG11</t>
  </si>
  <si>
    <t>Donald</t>
  </si>
  <si>
    <t>TSUI</t>
  </si>
  <si>
    <t>Founder of HOBBYHK</t>
  </si>
  <si>
    <t>IHMC545</t>
  </si>
  <si>
    <t>可持續發展校園系列</t>
  </si>
  <si>
    <t>SDG Series</t>
  </si>
  <si>
    <t>食農研習室：旬味開箱！</t>
  </si>
  <si>
    <t>SDG Series - Food Studio: Fresh Picks, Fall Bites!</t>
  </si>
  <si>
    <t>At the end of the activity, students will be able to:
1. Understand the latest development of faming in Hong Kong; 
2. Importance of environmental protection; and 
3. Have a taste of food that are best served in Autumn</t>
  </si>
  <si>
    <t>Local farmers will be invited to share with the students about the latest development of farming in Hong Kong. Students will have the chance to know more about the food that are best served in Autumn and enjoying a tasting session during the activity.</t>
  </si>
  <si>
    <t>田嘢 Organic Greenfield</t>
  </si>
  <si>
    <t>IHMC546</t>
  </si>
  <si>
    <t>提案比賽</t>
  </si>
  <si>
    <t>Innovate4Impact (i4i) - Final Pitch</t>
  </si>
  <si>
    <t xml:space="preserve">At the end of the activity, students will be able to:
1. Develop innovative ideas to contribute to sustainable development; and
2. Pitch their ideas and receive feedback from experienced panelists. </t>
  </si>
  <si>
    <t>Project teams will apply the knowledge learnt from the training workshops and present their ideas in response to the community needs.</t>
  </si>
  <si>
    <t>IHMC547</t>
  </si>
  <si>
    <t>參觀香港國際機場 - 機場的可持續發展</t>
  </si>
  <si>
    <t>SDG Series - Guided Tour on Sustainability in the Hong Kong International Airport</t>
  </si>
  <si>
    <t>At the end of the activity, students will be able to:
1. Understand how the Hong Kong International Airport implements sustainability practices; 
2. What practices can be adopted in daily life to promote sustainability; and 
3. Understand the environmental issues around the community.</t>
  </si>
  <si>
    <t>A guided tour to the Hong Kong International Airport, where students will have the chance to visit restricted areas, understand the sustainability policies adopted by the HKIA, latest technology to enhance sustanability, and how to promote sustainability in daily life</t>
  </si>
  <si>
    <t>Guided Tour by HKIA</t>
  </si>
  <si>
    <t>IHMC447</t>
  </si>
  <si>
    <t>William M W Mong Hall The Bank of East Asia Hall (MEA)</t>
  </si>
  <si>
    <t>Warden's Offices</t>
  </si>
  <si>
    <t>蒙民偉樓東亞堂 (MEA) 主辦</t>
  </si>
  <si>
    <t>Organised by William M W Mong Hall The Bank of East Asia Hall (MEA)</t>
  </si>
  <si>
    <t>催眠體驗：學習與潛意識對話</t>
    <phoneticPr fontId="0" type="noConversion"/>
  </si>
  <si>
    <t>Hypnosis Experience: Engaging in Dialogue with the Subconscious</t>
  </si>
  <si>
    <t>At the end of the activity, students will be able to:
1. Develop a deeper understanding of how the subconscious mind works; 
2. Learn techniques that promote relaxation and emotional well-being; and 
3. Use hypnotic techniques to deliver simple suggestions to their subconscious mind.</t>
  </si>
  <si>
    <t>Have you ever wondered whether hypnosis is as magical as it seems in films and on TV? 
Would you like to learn more about the theory and experience it for yourself?
Through guided experiences, you will learn techniques for engaging with your subconscious mind to promote relaxation and self-discovery. The workshop provides a safe space in which to explore the depths of the mind, fostering personal growth and enhancing well-being.</t>
    <phoneticPr fontId="0" type="noConversion"/>
  </si>
  <si>
    <t xml:space="preserve">HA111, Hall A </t>
  </si>
  <si>
    <t>Jason</t>
    <phoneticPr fontId="0" type="noConversion"/>
  </si>
  <si>
    <t>CHEUNG</t>
    <phoneticPr fontId="0" type="noConversion"/>
  </si>
  <si>
    <t>Hostel Tutor of Hall A , Certified Hypnotherapist (NGH, USA)</t>
  </si>
  <si>
    <t>To ensure an optimal experience for everyone, please only register if you can understand Cantonese.
Residents FIRST, then open to ALL</t>
  </si>
  <si>
    <t>Mr. Jason CHEUNG</t>
  </si>
  <si>
    <t>shingtocheung@ln.edu.hk</t>
    <phoneticPr fontId="0" type="noConversion"/>
  </si>
  <si>
    <t>IHMC279</t>
  </si>
  <si>
    <t>廣東話工作坊(宿舍情境)</t>
  </si>
  <si>
    <t>Cantonese Workshop (Hostel Context)</t>
  </si>
  <si>
    <t>At the end of the activity, students will be able to:
1. Introduce yourself in Cantonese;
2. Use Cantonese in hostel context; and
3. Improve communication skills in Cantonese.</t>
  </si>
  <si>
    <t>1. Learn to introduce yourself in Cantonese;
2. Learn daily phrases used in hostel;
3. Learn some Cantonese slang to know about Hong Kong popular culture.</t>
  </si>
  <si>
    <t>Nancy</t>
  </si>
  <si>
    <t>LU</t>
  </si>
  <si>
    <t xml:space="preserve">Hostel Senior Tutor of Hall A </t>
  </si>
  <si>
    <t>Residents FIRST, then open to ALL</t>
  </si>
  <si>
    <t>Ms. Nancy LU</t>
  </si>
  <si>
    <t>nlu@ln.edu.hk</t>
  </si>
  <si>
    <t>IHMC280</t>
  </si>
  <si>
    <t>廣東話工作坊(校園情境)</t>
  </si>
  <si>
    <t>Cantonese Workshop (Campus Context)</t>
  </si>
  <si>
    <t>At the end of the activity, students will be able to:
1. Introduce yourself in Cantonese;
2. Use Cantonese in campus context; and
3. Improve communication skills in Cantonese.</t>
  </si>
  <si>
    <t>1. Learn to introduce yourself in Cantonese;
2. Learn daily phrases used in campus;
3. Learn some Cantonese slang to know about Hong Kong popular culture.</t>
  </si>
  <si>
    <t>IHMC445</t>
  </si>
  <si>
    <t>普通話興趣班</t>
  </si>
  <si>
    <t>Mandarin Workshop</t>
  </si>
  <si>
    <t>At the end of the activity, students will be able to:
1. Improve Language Skills; 
2. Confidence in Communication; 
3. Cultural Awareness and Cross-Regional Communication; and 
4. Career Competitiveness.</t>
  </si>
  <si>
    <t>In this Mandarin workshop, participants will gain a fundamental understanding of standard Mandarin pronunciation, tones, and basic conversational skills. This workshop will serve as an engaging and practical gateway into the world of Mandarin, allowing participants to experience the beauty and clarity of the language while improving their communication confidence.</t>
  </si>
  <si>
    <t>Justin</t>
  </si>
  <si>
    <t>LIU</t>
  </si>
  <si>
    <t xml:space="preserve">Hostel Tutor of Hall A </t>
  </si>
  <si>
    <t> Residents FIRST, then open to ALL</t>
  </si>
  <si>
    <t>Mr. Justin LIU</t>
  </si>
  <si>
    <t>justinliu@ln.edu.hk</t>
  </si>
  <si>
    <t>IHMC503</t>
  </si>
  <si>
    <t>人工智能：在學術與工作上的應用</t>
    <phoneticPr fontId="0" type="noConversion"/>
  </si>
  <si>
    <t>AI for Academic and Work Success</t>
  </si>
  <si>
    <t>At the end of the activity, students will be able to:
1. Identify the impacts of AI on academic and work environments;
2. Identify strategies to leverage AI for academic and work success; and 
3. Develop critical thinking and ethical considerations related to AI.</t>
  </si>
  <si>
    <t>AI (Artificial Intelligence) is playing a more and more significant role in our society, from everyday life to healthcare, emergency services, and even as a source of emotional support.
In the academic context, Lingnan also provides AI tools to support students’ research and learning. However, are we sufficiently AI-literate to apply these tools effectively in our academic work and daily lives?
The workshop will explore the application of AI in research and professional settings across different scenarios and contexts, highlighting the strengths and limitations of different AI tools. It will also discuss some key ethical considerations when using AI, with the aim of developing critical awareness and responsible approaches to AI applications.</t>
    <phoneticPr fontId="0" type="noConversion"/>
  </si>
  <si>
    <t>Y</t>
    <phoneticPr fontId="0" type="noConversion"/>
  </si>
  <si>
    <t>Ms.</t>
    <phoneticPr fontId="0" type="noConversion"/>
  </si>
  <si>
    <t>Cho Yi</t>
    <phoneticPr fontId="0" type="noConversion"/>
  </si>
  <si>
    <t>LEUNG</t>
    <phoneticPr fontId="0" type="noConversion"/>
  </si>
  <si>
    <t>Please bring your computer to the workshop, as you will be using AI tools during the group discussion session.
Residents FIRST, then open to ALL</t>
  </si>
  <si>
    <t>Ms. Joey LEUNG</t>
  </si>
  <si>
    <t>choyileung@ln.hk</t>
    <phoneticPr fontId="0" type="noConversion"/>
  </si>
  <si>
    <t>Ms Nancy Lu</t>
    <phoneticPr fontId="0" type="noConversion"/>
  </si>
  <si>
    <t>nlu@ln.edu.hk</t>
    <phoneticPr fontId="0" type="noConversion"/>
  </si>
  <si>
    <t>N</t>
    <phoneticPr fontId="0" type="noConversion"/>
  </si>
  <si>
    <t>IHMC505</t>
  </si>
  <si>
    <t>非遺體驗：竹扇編織工作坊(A組)</t>
  </si>
  <si>
    <t xml:space="preserve">Intangible Cultural Heritage Experiences: Bamboo Fan Weaving Workshop </t>
  </si>
  <si>
    <t>Group A</t>
  </si>
  <si>
    <t>At the end of the activity, students will be able to:
1. Learn basic easy weaving steps to make a simple bamboo fan; 
2.  Know simple facts about bamboo fan as a local intangible cultural heritage craft ; and 
3.  Build interest in traditional handmade crafts and experience the fun of manual creation.</t>
  </si>
  <si>
    <t>This bamboo fan weaving workshop is an intangible cultural heritage hands-on experience. Participants will learn basic traditional Nanzhu weaving skills and finish their own handmade bamboo fan under professional guidance. Through the craft-making process, students can gain first-hand understanding of local traditional bamboo art and appreciate the charm of folk heritage craftsmanship.</t>
  </si>
  <si>
    <t>南竹團隊</t>
  </si>
  <si>
    <t>Namtier Limited</t>
  </si>
  <si>
    <t>IHMC504</t>
  </si>
  <si>
    <t>非遺體驗：竹扇編織工作坊(B組)</t>
  </si>
  <si>
    <t>Intangible Cultural Heritage Experiences: Bamboo Fan Weaving Workshop</t>
  </si>
  <si>
    <t xml:space="preserve"> Group B</t>
  </si>
  <si>
    <t>At the end of the activity, students will be able to:
1. Learn basic easy weaving steps to make a simple bamboo fan; 
2.  Know simple facts about bamboo fan as a local intangible cultural heritage craft; and
3.  Build interest in traditional handmade crafts and experience the fun of manual creation.</t>
  </si>
  <si>
    <t>靜心書籤繪畫工作坊</t>
  </si>
  <si>
    <t>Mindful Bookmark Painting Workshop</t>
  </si>
  <si>
    <t>At the end of the activity, students will be able to:
1. Apply simple bookmark painting techniques to create a personalised artwork;
2. Practise mindful attention and sustained concentration through a guided creative process; and
3. Use art-making as a practical way to relax, release everyday stress and support mental well-being.</t>
  </si>
  <si>
    <t>This hands-on workshop invites students to slow down and enjoy a calming bookmark painting experience. With step-by-step guidance, participants will explore simple colour combinations, patterns and mindful drawing techniques while creating a personalised bookmark. The focused creative process encourages students to take a break from daily demands, relax their minds and strengthen concentration. No prior drawing or painting experience is required, and all materials will be provided.</t>
  </si>
  <si>
    <t>Anna</t>
  </si>
  <si>
    <t>CHEN</t>
  </si>
  <si>
    <t>Residents FIRST, then open to ALL
No prior drawing or painting experience is required. All materials will be provided. Please arrive 10 minutes before the workshop.</t>
  </si>
  <si>
    <t>Ms. Anna CHEN</t>
  </si>
  <si>
    <t>chenanna@ln.hk</t>
  </si>
  <si>
    <t>IHMC506</t>
  </si>
  <si>
    <t xml:space="preserve">TFB Hall </t>
  </si>
  <si>
    <t>香港崇正總會霍藻棉樓 (TFB) 主辦</t>
  </si>
  <si>
    <t>Organised by Tsung Tsin Association Hall Fok Cho Min Hall (TFB)</t>
  </si>
  <si>
    <t>學生交換計畫：學業規劃與文化適應</t>
  </si>
  <si>
    <t>Get Ready Ready for Student Exchange Program: Academic Planning and Cultural Adjustment</t>
  </si>
  <si>
    <r>
      <t xml:space="preserve">At the end of the activity, students will be able to:
</t>
    </r>
    <r>
      <rPr>
        <sz val="11"/>
        <color theme="1"/>
        <rFont val="微軟正黑體"/>
        <family val="2"/>
        <charset val="136"/>
      </rPr>
      <t xml:space="preserve">1. </t>
    </r>
    <r>
      <rPr>
        <sz val="11"/>
        <color theme="1"/>
        <rFont val="Calibri"/>
        <family val="2"/>
        <scheme val="minor"/>
      </rPr>
      <t xml:space="preserve">Identify and plan for key academic and financial requirements of their student exchange program, including course selection, academic expectations, and estimated living expenses; and 
</t>
    </r>
    <r>
      <rPr>
        <sz val="11"/>
        <color theme="1"/>
        <rFont val="微軟正黑體"/>
        <family val="2"/>
        <charset val="136"/>
      </rPr>
      <t xml:space="preserve">2. </t>
    </r>
    <r>
      <rPr>
        <sz val="11"/>
        <color theme="1"/>
        <rFont val="Calibri"/>
        <family val="2"/>
        <scheme val="minor"/>
      </rPr>
      <t>Demonstrate strategies for adapting to a new cultural environment by recognizing common cultural adjustment challenges and applying practical approaches to navigate them effectively.</t>
    </r>
  </si>
  <si>
    <r>
      <t>This event is designed to help students prepare confidently for an exchange journey by covering essential topics such as academic requirements, how to estimate and plan for living expenses,</t>
    </r>
    <r>
      <rPr>
        <sz val="11"/>
        <color theme="1"/>
        <rFont val="微軟正黑體"/>
        <family val="2"/>
        <charset val="136"/>
      </rPr>
      <t xml:space="preserve"> </t>
    </r>
    <r>
      <rPr>
        <sz val="11"/>
        <color theme="1"/>
        <rFont val="Calibri"/>
        <family val="2"/>
        <scheme val="minor"/>
      </rPr>
      <t>and  ways to overcome cultural adjustment challenges.</t>
    </r>
  </si>
  <si>
    <t>Alumni of Lingnan University</t>
  </si>
  <si>
    <t>Ms. Kaman SIN</t>
    <phoneticPr fontId="16" type="noConversion"/>
  </si>
  <si>
    <t>kamansin@ln.hk</t>
    <phoneticPr fontId="16" type="noConversion"/>
  </si>
  <si>
    <t>IHMC507</t>
  </si>
  <si>
    <t>香港玩具史與流行文化入門</t>
  </si>
  <si>
    <t>Introduction to History of Hong Kong's Toys and Popular Culture</t>
  </si>
  <si>
    <t xml:space="preserve">At the end of the activity, students will be able to:
1. Identify key historical milestones in the development of Hong Kong toys and how they evolved alongside popular culture; and 
2. Explain how toys and media/entertainment reflected and shaped identity and everyday life in Hong Kong over time.
</t>
  </si>
  <si>
    <t>This talk explores the history of Hong Kong’s toys and how they evolved alongside the city’s popular culture. Through selected examples, the session highlights the cultural significance of Hong Kong’s toy-making and collecting traditions, and why these playful artefacts still resonate today.</t>
  </si>
  <si>
    <t xml:space="preserve"> Function Room,Hall B</t>
  </si>
  <si>
    <t>Ka Lok</t>
  </si>
  <si>
    <t xml:space="preserve">YEUNG </t>
  </si>
  <si>
    <t>Part-time Instructor of HKU SPACE</t>
  </si>
  <si>
    <t>Open to ALL</t>
  </si>
  <si>
    <t>Ms. HUNG Choi-man</t>
  </si>
  <si>
    <t>hcmchoiman@gmail.com</t>
  </si>
  <si>
    <t>IHMC508</t>
  </si>
  <si>
    <t>樂高創意思維與團隊協作工作坊</t>
    <phoneticPr fontId="16" type="noConversion"/>
  </si>
  <si>
    <t>LEGO Creative Thinking and Team Collaboration Workshop</t>
  </si>
  <si>
    <t>At the end of the activity, students will be able to:
1. Empower students to think creatively and develop innovative solutions to complex challenges by using Lego bricks to model and visualize problems; and
2. Foster teamwork and communication among students by encouraging them to work together in building and discussing their Lego models, thereby improving their ability to solve problems collaboratively.</t>
  </si>
  <si>
    <t>Using the LEGO® Serious Play® methodology, students build and share LEGO models to explore ideas, solve challenges, and strengthen creativity, critical thinking, communication, and teamwork through hands-on collaborative learning.</t>
    <phoneticPr fontId="16" type="noConversion"/>
  </si>
  <si>
    <t>Chad</t>
    <phoneticPr fontId="16" type="noConversion"/>
  </si>
  <si>
    <t>CHAN</t>
    <phoneticPr fontId="16" type="noConversion"/>
  </si>
  <si>
    <t>Senior Hostel Tutor of Hall B</t>
  </si>
  <si>
    <t>Mr. Chad CHAN</t>
    <phoneticPr fontId="16" type="noConversion"/>
  </si>
  <si>
    <t>chadchan@ln.edu.hk</t>
    <phoneticPr fontId="16" type="noConversion"/>
  </si>
  <si>
    <t>IHMC509</t>
  </si>
  <si>
    <t>AI × 3D打印創新設計工作坊：打造智慧宿舍生活</t>
    <phoneticPr fontId="16" type="noConversion"/>
  </si>
  <si>
    <t>AI to 3D Printing: Enhance Your Hostel Life with Innovative Prototypes</t>
  </si>
  <si>
    <t>At the end of the activity, students will be able to:
1. Equip participants with the knowledge and skills to use AI tools and 3D printing technology for designing and developing practical prototypes that improve hostel living conditions; and 
2. Foster creativity and innovation by guiding participants through the process of identifying common hostel-related problems and developing effective, tangible solutions using AI and 3D printing.</t>
  </si>
  <si>
    <t>This hands-on project empowers students to enhance hostel life by combining AI tools with 3D printing technology. Participants will identify real-life challenges, design innovative solutions, and create functional prototypes. The activity fosters creativity, technical skills, and problem-solving, transforming ideas into tangible improvements for the hostel environment.</t>
    <phoneticPr fontId="16" type="noConversion"/>
  </si>
  <si>
    <t>IHMC510</t>
  </si>
  <si>
    <t>平面設計工作坊</t>
  </si>
  <si>
    <t xml:space="preserve">Graphic Design Workshop </t>
  </si>
  <si>
    <t xml:space="preserve">At the end of the activity, students will be able to:
1. Understand the basic principle of Graphic Design;
2. Apply the career path as an graphic designer;and
3. Understand the process of design projects.
 </t>
  </si>
  <si>
    <t>Understand the principle of design, so that students could apply the principle whatever platform they are using. Participants would also understand the process of design projects.</t>
  </si>
  <si>
    <t>Mr. Eric KWOK</t>
    <phoneticPr fontId="16" type="noConversion"/>
  </si>
  <si>
    <t>kinkwankwok1218@gmail.com</t>
    <phoneticPr fontId="16" type="noConversion"/>
  </si>
  <si>
    <t>IHMC511</t>
  </si>
  <si>
    <t>桌上遊戲設計與創意開發工作坊</t>
    <phoneticPr fontId="16" type="noConversion"/>
  </si>
  <si>
    <t>Board Game Design and Creative Development Workshop</t>
  </si>
  <si>
    <r>
      <t xml:space="preserve">At the end of the activity, students will be able to:
</t>
    </r>
    <r>
      <rPr>
        <sz val="11"/>
        <color theme="1"/>
        <rFont val="微軟正黑體"/>
        <family val="2"/>
        <charset val="136"/>
      </rPr>
      <t xml:space="preserve">1. </t>
    </r>
    <r>
      <rPr>
        <sz val="11"/>
        <color theme="1"/>
        <rFont val="Calibri"/>
        <family val="2"/>
        <scheme val="minor"/>
      </rPr>
      <t xml:space="preserve">Understand the fundamental principles of board game design, including game mechanics, rule creation, and player engagement; 
</t>
    </r>
    <r>
      <rPr>
        <sz val="11"/>
        <color theme="1"/>
        <rFont val="微軟正黑體"/>
        <family val="2"/>
        <charset val="136"/>
      </rPr>
      <t xml:space="preserve">2. </t>
    </r>
    <r>
      <rPr>
        <sz val="11"/>
        <color theme="1"/>
        <rFont val="Calibri"/>
        <family val="2"/>
        <scheme val="minor"/>
      </rPr>
      <t xml:space="preserve">Apply creativity and design thinking skills to develop original and interactive board game concepts; and
</t>
    </r>
    <r>
      <rPr>
        <sz val="11"/>
        <color theme="1"/>
        <rFont val="微軟正黑體"/>
        <family val="2"/>
        <charset val="136"/>
      </rPr>
      <t xml:space="preserve">3. </t>
    </r>
    <r>
      <rPr>
        <sz val="11"/>
        <color theme="1"/>
        <rFont val="Calibri"/>
        <family val="2"/>
        <scheme val="minor"/>
      </rPr>
      <t>Collaborate effectively in teams to prototype, test, refine, and present a board game, enhancing communication and problem-solving skills.</t>
    </r>
  </si>
  <si>
    <t>This workshop introduces students to the complete board game design process, from concept development and game mechanics to prototyping and playtesting. Working in teams, participants will create their own board games and refine them based on player feedback. The activity encourages creativity, strategic thinking, teamwork, and project management while providing students with an enjoyable and practical experience in game design and innovation.</t>
    <phoneticPr fontId="16" type="noConversion"/>
  </si>
  <si>
    <t>IHMC052</t>
  </si>
  <si>
    <t>CSYM Hall</t>
  </si>
  <si>
    <t>忠信逸民堂 (CSYM) 主辦</t>
  </si>
  <si>
    <t>Organised by Chung Shun Yee Min Hall (CSYM)</t>
  </si>
  <si>
    <t>如何有個美滿宿舍生活及認識舍監辦</t>
  </si>
  <si>
    <t>How to Make the Best Out of Your Residential Life</t>
  </si>
  <si>
    <t>At the end of the activity, students will be able to:
1. Understand the meaning of hostel life;
2. Meet Warden, Senior Tutor and Tutors; and
3. Collect information on hostel activities and facilities.</t>
  </si>
  <si>
    <t xml:space="preserve">Our Warden Office will meet the participating residents to introduce some background information about Chung Shun Yee Min Hall (CSYM), such as hostel activities and facilities. </t>
  </si>
  <si>
    <t>Bo</t>
  </si>
  <si>
    <t>Warden of Hall C</t>
  </si>
  <si>
    <t>Mr. Aun WONG</t>
  </si>
  <si>
    <t>aunwong@LN.edu.hk</t>
  </si>
  <si>
    <t>IHMC451</t>
  </si>
  <si>
    <t>I03</t>
  </si>
  <si>
    <t>數字時代的愛情關係</t>
  </si>
  <si>
    <t xml:space="preserve">Navigating Love in digital age: A Relationship Readiness </t>
  </si>
  <si>
    <r>
      <rPr>
        <b/>
        <sz val="11"/>
        <color theme="1"/>
        <rFont val="Calibri"/>
        <family val="2"/>
        <scheme val="minor"/>
      </rPr>
      <t xml:space="preserve">Section 1: </t>
    </r>
    <r>
      <rPr>
        <sz val="11"/>
        <color theme="1"/>
        <rFont val="Calibri"/>
        <family val="2"/>
        <scheme val="minor"/>
      </rPr>
      <t xml:space="preserve">
1. Relationship Diagnostic Tool &amp; Life-Goal Alignment: Healthy-intimacy self-audit, Clarify core values; focus life goals;
2. Emotional Awareness &amp; Gender-Smart Regulation: Spot triggers, train mindfulness, apply control hacks, Sex-difference roadmap: why “same fight, different feels”; and
3. Intimacy Communication Cheat-Sheet:  Ingredients of effective talk, Deep listening + need-statement formulas. 
</t>
    </r>
    <r>
      <rPr>
        <b/>
        <sz val="11"/>
        <color theme="1"/>
        <rFont val="Calibri"/>
        <family val="2"/>
        <scheme val="minor"/>
      </rPr>
      <t xml:space="preserve">
Section 2: Interpersonal Relationships &amp; Forming Successful Habits
</t>
    </r>
    <r>
      <rPr>
        <sz val="11"/>
        <color theme="1"/>
        <rFont val="Calibri"/>
        <family val="2"/>
        <scheme val="minor"/>
      </rPr>
      <t xml:space="preserve">1. Personality Decoder: Tailor your message to any type for instant impact ; and 
2. Inner Journey: Love Self, Love Others: Self-love = starting line, Emotion-first aid kit. </t>
    </r>
  </si>
  <si>
    <t>Modern dating has become a high-stakes digital game—swift, accessible, but often perilous. Amid economic uncertainty and sophisticated romance scams, finding genuine connection requires more than hope; it demands preparation. This course provides essential tools: fostering self-worth, honing communication, and developing a discerning eye. We empower students to navigate relationships with clarity, protect their well-being, and build healthy intimacy—ensuring they control their destiny in love, one informed choice at a time.</t>
  </si>
  <si>
    <t>Jessie</t>
  </si>
  <si>
    <t>HUEN</t>
  </si>
  <si>
    <t>Mindfulness Trainer</t>
  </si>
  <si>
    <t>Mr. Derek LO</t>
  </si>
  <si>
    <t>waikitlo2@ln.edu.hk</t>
  </si>
  <si>
    <t>I04</t>
  </si>
  <si>
    <t>街舞基礎與節奏律動工作坊</t>
  </si>
  <si>
    <t>Introduction to Street Dance Groove Workshop</t>
  </si>
  <si>
    <t>At the end of the activity, students will be able to:
1. Develop Rhythm and Coordination: Participants will master fundamental hip-hop grooves, bounce techniques, and body isolation movements to enhance physical coordination; 
2. Learn and Perform Choreography: Participants will successfully memorise and execute a short, beginner-friendly dance routine by the end of the session; and
3. Boost Confidence and Self-Expression: Participants will build performance confidence and explore creative self-expression through movement in a supportive group environment.</t>
  </si>
  <si>
    <t>Get moving, relieve stress, and discover the joy of dance! This high-energy workshop is specially designed for students with little to no prior dance experience. Participants will start with a comprehensive warm-up and isolation exercises, move into learning fundamental street dance grooves, and wrap up by mastering a fun  choreography piece. It is the perfect opportunity to stay active, meet fellow hall residents, and express yourself through music and movement. Please wear comfortable sportswear and clean sneakers.</t>
  </si>
  <si>
    <t>LCH411</t>
  </si>
  <si>
    <t>Derek</t>
  </si>
  <si>
    <t>LUM</t>
  </si>
  <si>
    <t>Registered Arts Therapist</t>
  </si>
  <si>
    <t>IHMC053</t>
  </si>
  <si>
    <t>LWD Hall</t>
  </si>
  <si>
    <t>林護堂 (LWD) 主辦</t>
  </si>
  <si>
    <t>Organised by Lam Woo Hall (LWD)</t>
  </si>
  <si>
    <t>Meeting with Warden</t>
  </si>
  <si>
    <t>At the end of the activity, students will be able to:
1. Explain the Warden’s responsibilities and the operational framework of Lam Woo Hall; 
2. Identify appropriate channels for communicating feedback and reporting residential issues; and 
3. Articulate their own rights and responsibilities as active members of the hall community.</t>
  </si>
  <si>
    <t>This dialogue session organized by Lam Woo Hall offers residents a direct opportunity to engage with the Warden in an informal setting. Participants will gain insights into the Warden’s supervisory role, hall governance structures, and the decision-making processes that shape residential life. The meeting also serves as an open platform for students to voice concerns, ask questions, and understand the mutual expectations between hall management and residents.</t>
  </si>
  <si>
    <t>MBG06</t>
  </si>
  <si>
    <t>Paco</t>
  </si>
  <si>
    <t>JIAO</t>
  </si>
  <si>
    <t xml:space="preserve">Tutor of Hall D </t>
  </si>
  <si>
    <t>HAU</t>
  </si>
  <si>
    <t>Wai Man</t>
  </si>
  <si>
    <t xml:space="preserve"> Hostel Tutor of Hall D</t>
  </si>
  <si>
    <t xml:space="preserve">Mr. Paco JIAO </t>
  </si>
  <si>
    <t>zhongxuanjiao@ln.edu.hk</t>
  </si>
  <si>
    <t>IHMC399</t>
  </si>
  <si>
    <t>Welcome Party for Non-Local Residents</t>
  </si>
  <si>
    <t>At the end of the activity, students will be able to:
1. Navigate key hall facilities and identify available academic/wellness support service; 
2. Establish initial peer connections to build a reliable local support network; and 
3. Demonstrate increased confidence in intercultural communication and cultural adaptability.</t>
  </si>
  <si>
    <t>This orientation social organized by Lam Woo Hall warmly welcomes non-local residents into the hall community. Through ice-breaking games, cultural sharing booths, and casual mingling, participants will connect with fellow local and international students. The session also provides a brief orientation on hall facilities, campus resources, and practical living tips specifically tailored for students adapting to a new environment.</t>
  </si>
  <si>
    <t xml:space="preserve">G/F Common Room, Hall D </t>
  </si>
  <si>
    <t>Residents ONLY</t>
  </si>
  <si>
    <t>IHMC512</t>
  </si>
  <si>
    <t>Dodge Move in Performance Drama</t>
  </si>
  <si>
    <t>At the end of the activity, students will be able to:
1. Execute basic dodge manoeuvres with proper spatial awareness and body control; 
2. Apply safety protocols to execute physical sequences without risk of injury; and
3. Integrate evasion movements into dramatic scenes to heighten narrative impact and character expression.</t>
  </si>
  <si>
    <t>This practical workshop organized by Lam Woo Hall introduces fundamental dodge and evasion techniques used in stage combat and physical theatre. Through guided warm-ups, partner drills, and choreographed sequences, participants will learn how to execute safe, convincing avoidance movements that enhance dramatic tension without compromising performer safety.</t>
  </si>
  <si>
    <t>SAC3 at Wofoo Joseph Lee Student Activity Centre</t>
  </si>
  <si>
    <t xml:space="preserve">Benny </t>
  </si>
  <si>
    <t>Adventure activity traineer, Djembe teacher, Martial Art Instructor, Cheerleading coach</t>
  </si>
  <si>
    <t>IHMC513</t>
  </si>
  <si>
    <t>Euthymia in Modern Poetry</t>
  </si>
  <si>
    <t>At the end of the activity, students will be able to:
1. Analyze how poetic devices evoke emotional responses and states of tranquility; 
2. Apply close-reading techniques to interpret layered meanings in modern texts; and 
3, Articulate personal emotional insights inspired by poetic expression.</t>
  </si>
  <si>
    <t>This reflective session organized by Lam Woo Hall explores how modern poetry serves as a medium for achieving emotional equilibrium (euthymia). Through close reading and guided discussion of selected contemporary verses, participants will examine poetic language, imagery, and rhythm as tools for processing complex feelings and cultivating inner calm.</t>
  </si>
  <si>
    <t>King Chiu</t>
  </si>
  <si>
    <t>SZE</t>
  </si>
  <si>
    <t>Hong Kong Poet</t>
  </si>
  <si>
    <t>IHMC514</t>
  </si>
  <si>
    <t>Hall Harmony: Connect, Communicate, Collaborate</t>
  </si>
  <si>
    <t>At the end of the activity, students will be able to:
1. Identify effective conflict-resolution strategies for addressing common roommate and hall-related tensions; 
2. Apply active listening and persuasive communication techniques to reach mutually agreeable compromises; and
3. Demonstrate increased cultural awareness and interpersonal empathy to prevent misunderstandings and foster a cohesive hall community.</t>
  </si>
  <si>
    <t>This interactive ILP session, organized by Lam Woo Hall, features two student-designed sub-activities tackling real-life hall dilemmas. Through engaging role-play negotiations and a cross-cultural mingling challenge, participants will navigate common residential conflicts—from roommate disputes to shared-space frustrations—while building empathy and practical communication skills in a fun, low-pressure setting.</t>
  </si>
  <si>
    <t>LKKG01 &amp; LKKG02</t>
  </si>
  <si>
    <t>IHMC515</t>
  </si>
  <si>
    <t>Jockey Club Hall E</t>
  </si>
  <si>
    <t>賽馬會博騫堂(JCE)主辦</t>
  </si>
  <si>
    <t>Organised by The Jockey Club Hall E (JCE)</t>
  </si>
  <si>
    <t>Mid-Autumn Festival Celebration through Art &amp; Craft</t>
  </si>
  <si>
    <t xml:space="preserve">At the end of the activity, students will be able to:
1. Understand the history and importance of Midautumn Festival as part of the traditional East Asian culture;
2. Learn basic Cantonese through a fun way; and
3. Learn basic paper craft through lantern making. </t>
  </si>
  <si>
    <t xml:space="preserve">Join us for a fun workshop to celebrate Mid-autumn Festival! Get hands-on in making paper lanterns while learning about the traditions of the festival. </t>
  </si>
  <si>
    <t xml:space="preserve">LKK202 </t>
  </si>
  <si>
    <t>Senior Tutor</t>
  </si>
  <si>
    <t>Belinda Lau</t>
  </si>
  <si>
    <t>IHMC516</t>
  </si>
  <si>
    <t>Design Your Life!</t>
  </si>
  <si>
    <t xml:space="preserve">At the end of the activity, students will be able to:
1. Explore their passions and interests;
2. Understand how they can align their passions and interests with long-term life pursuits; and
3. Set goals and action plans to live a fulfilling and purpose-driven life. </t>
  </si>
  <si>
    <t xml:space="preserve">Discover your core passions and learn how to turn your interests into meaningful roadmap for your future career and personal life. This engaging workshop provides the tools to set clear goals and create a practical action plan for a truly fulfilling journey at Lingnan University. </t>
  </si>
  <si>
    <t xml:space="preserve">LKK203 </t>
  </si>
  <si>
    <t>IHMC030</t>
  </si>
  <si>
    <t>Getting Ready for the LCC1010 Oral Exam Workshop</t>
  </si>
  <si>
    <t>At the end of the activity, students will be able to:
1. Demonstrate effective prose-reading skills required for the LCC1010 oral exam, including appropriate pronunciation, intonation, pacing, and clarity;
2. Apply instructor feedback to improve oral delivery, identifying individual strengths and areas for improvement in prose reading; and
3. Develop greater confidence and exam readiness through guided practice and personalized training in the prose-reading component of the LCC1010 oral exam.</t>
  </si>
  <si>
    <t>In this workshop, the instructor will provide a tutorial of prose reading, which is the component of the LCC1010 oral exam. Through reading the proses, participants can get individualized feedback and optimizing training from the instructor.</t>
  </si>
  <si>
    <t>WANG</t>
  </si>
  <si>
    <t>Tutor</t>
  </si>
  <si>
    <t>https://lingnan.zoom.us/j/91271425730?pwd=WX3UHmc47elnWVqE3q67mf3hqU9YXi.1</t>
  </si>
  <si>
    <t>912 7142 5730</t>
  </si>
  <si>
    <t>Jessie Wang</t>
  </si>
  <si>
    <t>linwang@ln.edu.hk</t>
  </si>
  <si>
    <t>IHMC031</t>
  </si>
  <si>
    <t>Getting Ready for the LCC2010 Oral Exam Workshop</t>
  </si>
  <si>
    <t>At the end of the activity, students will be able to:
1. Demonstrate effective prose-reading skills required for the LCC2010 oral exam, including appropriate pronunciation, intonation, pacing, and clarity;
2. Apply instructor feedback to improve oral delivery, identifying individual strengths and areas for improvement in prose reading; and 
3. Develop greater confidence and exam readiness through guided practice and personalized training in the prose-reading component of the LCC1010 oral exam.</t>
  </si>
  <si>
    <t>In this workshop, the instructor will provide a tutorial of prose reading, which is the component of the LCC2010 oral exam. Through reading the proses, participants can get individualized feedback and optimizing training from the instructor.</t>
  </si>
  <si>
    <t>https://lingnan.zoom.us/j/93742242197?pwd=na2kw4aSuGDfbxNaUCZkZnR4z4FPfb.1</t>
  </si>
  <si>
    <t>937 4224 2197</t>
  </si>
  <si>
    <t>IHMC517</t>
  </si>
  <si>
    <t xml:space="preserve">Yoga Workshop for Beginners: Shoulders, Neck and Spine Care </t>
  </si>
  <si>
    <t>At the end of the activity, students will be able to:
1. Learn the basic techniques to relax sore shoulder, neck and spine;
2. Acquire fundamental knowledge of meditation; and 
3. Develop the ability to maintain a peaceful and balanced mind and attitude in a busy daily life.</t>
  </si>
  <si>
    <t xml:space="preserve">Ms. Maia Mai is an experienced yoga practitioner. In this workshop, she will introduce basic yoga techniques for beginners that are beneficial for the care of the shoulders, neck, and spine, targeting the relaxation of sore muscles. Additionally, she will guide participants on how to maintain a peaceful and balanced mind amidst the demands of our busy daily lives.
Participants are required to bring their own yoga mats for this workshop. 
</t>
  </si>
  <si>
    <t xml:space="preserve">LYH109 </t>
  </si>
  <si>
    <t>Maia</t>
  </si>
  <si>
    <t>MAI</t>
  </si>
  <si>
    <t>Yoga Practitioner</t>
  </si>
  <si>
    <t>Harper Mai</t>
  </si>
  <si>
    <t>harpermai@ln.edu.hk</t>
  </si>
  <si>
    <t>IHMC034</t>
  </si>
  <si>
    <t>JCF Hall</t>
  </si>
  <si>
    <t>賽馬會堂 (JCF) 主辦</t>
  </si>
  <si>
    <t>Organised by The Jockey Club Hall F (JCF)</t>
  </si>
  <si>
    <t>與舍監會面</t>
  </si>
  <si>
    <t>At the end of the activity, students will be able to:
1. To inform hostel residents about upcoming activities, community guidelines, and available support services through a virtual briefing led by the warden.</t>
  </si>
  <si>
    <t>This online session provides a comprehensive overview of hostel life, including planned events, behavioral expectations, and the resources available to support residents' well-being. Hosted via Zoom, the warden will walk participants through key rules, answer questions, and introduce staff members who can assist with various needs. It’s a welcoming space for new and returning residents to stay informed, feel connected, and understand how to make the most of their hostel experience.</t>
  </si>
  <si>
    <t>Tobby</t>
    <phoneticPr fontId="16" type="noConversion"/>
  </si>
  <si>
    <t>KAN</t>
  </si>
  <si>
    <t xml:space="preserve">Hotel Senior Tutor of Hall F  </t>
  </si>
  <si>
    <t>Dr. Tobby KAN</t>
  </si>
  <si>
    <t>tobbykan@ln.edu.hk</t>
  </si>
  <si>
    <t>IHMC518</t>
  </si>
  <si>
    <t>泰拳體驗班</t>
  </si>
  <si>
    <t>Thai Boxing Fitness Workshop</t>
  </si>
  <si>
    <t>At the end of the activity, students will be able to:
1. Practice basic Thai Boxing movements and striking techniques in a safe and controlled environment;
2. Relieve stress through physical exercise and develop interest in maintaining an active lifestyle; and
3. Build new friendships and identify potential exercise partners through participation in the activity.</t>
  </si>
  <si>
    <t>Thai boxing is a popular fitness activity that enhances physical fitness, coordination, and self-confidence. Under the guidance of a qualified instructor, participants will learn basic techniques and training methods in a safe environment. The activity provides an effective way to relieve stress, stay active, and connect with fellow students who share similar fitness interests.</t>
  </si>
  <si>
    <t>San Hui, Tuen Mun</t>
    <phoneticPr fontId="16" type="noConversion"/>
  </si>
  <si>
    <t>Representative of TOP ONE Fitness</t>
  </si>
  <si>
    <t>Tin/ Ku</t>
  </si>
  <si>
    <t>Coach</t>
  </si>
  <si>
    <t>Ho Fuk Tong LRT Station</t>
  </si>
  <si>
    <t xml:space="preserve">Residents FIRST, then open to ALL
Participants should wear sports attire and bring their own water.
</t>
  </si>
  <si>
    <t>Jill CHAN</t>
  </si>
  <si>
    <t>jillchan@ln.edu.hk</t>
  </si>
  <si>
    <t>IHMC345</t>
  </si>
  <si>
    <t>Mise-en-zine: 小誌創作工作坊</t>
  </si>
  <si>
    <t xml:space="preserve">Mise-en-zine: Zine-making Workshop </t>
  </si>
  <si>
    <t>At the end of the activity, students will be able to:
1. Understand the idea of Zine and learn to express their ideas and stories through the medium of zines; 
2.  Gain practical skills in layout and visual storytelling by creating an 8-page mini-zine made from a single sheet of A4 paper and recycled paper; and
3.  Acquire hands-on experience in producing multiple copies of their zines using home printing techniques.</t>
  </si>
  <si>
    <t xml:space="preserve">Zines, derived from the word "fanzines," are self-published, small-circulation booklets or magazines. They can cover any topic and are often crafted by individuals or small groups using a variety of artistic methods. Zines serve as a unique form of self-expression and offer an alternative way to share your voice, from quickly assembled copies to meticulously crafted pieces using the latest technology.
Join us for a hands-on zine-making workshop where you can freely explore topics, materials, and share your thoughts. Whether you’re an artist or a curious beginner, this workshop offers a welcoming space to delve into the art of zine creation! </t>
  </si>
  <si>
    <t>Common Room, Hall F</t>
    <phoneticPr fontId="16" type="noConversion"/>
  </si>
  <si>
    <t xml:space="preserve">Helen </t>
  </si>
  <si>
    <t xml:space="preserve">Hostel Tutor of Hall F  </t>
  </si>
  <si>
    <t>Ms. Helen LAM</t>
  </si>
  <si>
    <t>helenlam5@LN.edu.hk</t>
  </si>
  <si>
    <t>IHMC519</t>
  </si>
  <si>
    <t>Painting Workshop: Acrylic Colour Painting</t>
  </si>
  <si>
    <t>At the end of the activity, students will be able to:
1.enhance ability in making aesthetic judgment and appreciating painting;
2. Develop painting skill and basic knowledge about acrylic painting; and
3.improve observation ability in daily life.</t>
  </si>
  <si>
    <t>This workshop aims to provide students with basic knowledge of acrylic colour painting and appreciating painting.  The first part of the workshop is the introduction of basic historical background and some styles of acrylic colour painting, with the sharing of the speaker's own experience and works.  The second part is the participating of acrylic colour painting.  Students will be invited to paint with guiding and comments from the speaker.</t>
  </si>
  <si>
    <t>Him</t>
  </si>
  <si>
    <t>Founder of A…workshop</t>
  </si>
  <si>
    <t>Mr. Peter YU</t>
  </si>
  <si>
    <t>Yeungyu@ln.hk</t>
  </si>
  <si>
    <t>IHMC520</t>
  </si>
  <si>
    <t>解鎖愛的5種語言</t>
    <phoneticPr fontId="16" type="noConversion"/>
  </si>
  <si>
    <t>The Secret of Five Lover Language</t>
  </si>
  <si>
    <t>At the end of the activity, students will be able to:
1. Develop a clear understanding of the Five Love Languages;
2. Explore their own love language and improve self-awareness; 
3.Understand others with more empathy and openness;  
4. Acquire practical communication skills from a psychological perspective; and 
5.Strengthen relationship-building and emotional connection.</t>
  </si>
  <si>
    <t xml:space="preserve">The Secret of the Five Love Languages invites you to explore the different ways people express and receive love.
In this activity, Student will learn about the Five Love Languages, discover their own love language, and understand others from a new psychological perspective. Through interactive sharing and reflection, you will gain practical skills to improve communication and build healthier relationships.
</t>
  </si>
  <si>
    <t>Workshop</t>
    <phoneticPr fontId="16" type="noConversion"/>
  </si>
  <si>
    <t>LCH101</t>
  </si>
  <si>
    <t>Shijie</t>
  </si>
  <si>
    <t>PAN</t>
  </si>
  <si>
    <t>Mr. PAN Shijie</t>
  </si>
  <si>
    <t>shijiepan@ln.edu.hk</t>
  </si>
  <si>
    <t>IHMC481</t>
  </si>
  <si>
    <t>瑜珈工作坊</t>
  </si>
  <si>
    <t>Yoga Workshop</t>
  </si>
  <si>
    <t>At the end of the activity, students will be able to:
1.⁠ ⁠Practice Basic Yoga Poses to improve flexibility, posture, and body awareness; 
2.⁠ ⁠Learn Simple Breathing Techniques (Pranayama) to reduce stress and increase focus; and 
3.⁠ ⁠Experience Guided Relaxation to promote better sleep and emotional balance.</t>
  </si>
  <si>
    <t>This beginner-friendly yoga workshop is designed to help hostel residents unwind, recharge, and build healthy habits. Through simple postures, breathing techniques, and mindfulness practices, participants will discover how to enhance their physical and mental well-being in a relaxed, supportive environment.</t>
  </si>
  <si>
    <t>Sports Room</t>
    <phoneticPr fontId="16" type="noConversion"/>
  </si>
  <si>
    <t>Toby</t>
  </si>
  <si>
    <t>Yoga Teacher</t>
  </si>
  <si>
    <t>IHMC055</t>
  </si>
  <si>
    <t>The Jockey Club New Hall (G)</t>
  </si>
  <si>
    <t>賽馬會博雅堂(JCNG)主辦</t>
  </si>
  <si>
    <t>Organised by Jockey Club New Hall (JCNG)</t>
  </si>
  <si>
    <t>New Student Orientation 2026: Meeting with Warden (The Jockey Club New Hall (G))</t>
  </si>
  <si>
    <t>At the end of the activity, students will be able to:
1. Familiarise themselves with the hostel life and discipline;
2. Get in touch with the Warden's Office; and
3. Learn about various hostel education activities that foster a close-knit Hall G family.</t>
  </si>
  <si>
    <t>All new and current Hall G residents are welcome.</t>
  </si>
  <si>
    <t xml:space="preserve">LYH31920
</t>
  </si>
  <si>
    <t>Warden's Office of The Jockey Club New Hall (G)</t>
  </si>
  <si>
    <t>Ms. Zelda LAU</t>
  </si>
  <si>
    <t>zeldalau@LN.edu.hk</t>
  </si>
  <si>
    <t>IHMC463</t>
  </si>
  <si>
    <t>Let's Dance! 倫巴舞體驗</t>
  </si>
  <si>
    <t>Let's Dance: Rumba</t>
  </si>
  <si>
    <t>At the end of the workshop, students will be able to:
1. Gain basic knowledge about different types of social dance;
2. Enjoy various social dance music genres; and
3. Dance with basic jive steps to the music.</t>
  </si>
  <si>
    <t>The Cuban rumba, oftern called the "dance of love", is a romantic dance known for its slow rhythm and fluid movements. This exciting activity engages students in the basic rumba steps and associated music genres. Students can also enhance their physical and mental well-being through body stretching and making friends with dance partners.</t>
  </si>
  <si>
    <t xml:space="preserve"> Hostel Tutor of JCNG</t>
  </si>
  <si>
    <t xml:space="preserve"> Open to ALL </t>
  </si>
  <si>
    <t>Dr. Candy LIU</t>
  </si>
  <si>
    <t>jianliu@LN.edu.hk</t>
  </si>
  <si>
    <t>IHMC521</t>
  </si>
  <si>
    <t>越南春卷製作班</t>
  </si>
  <si>
    <t>Yummy! Vietnamese Rice Paper Rolls Workshop</t>
  </si>
  <si>
    <t>At the end of the workshop, students will be able to:
1. Learn how to make Vietnamese rice paper rolls;
2. Choose healthy ingredients for a balanced diet; and
3. Exchange food preparation skills with friends.</t>
  </si>
  <si>
    <t>When you prepare your own meals, you have more control over the ingredients for a healthier and more balanced diet. By learning how to make Vietnamese rice paper rolls together, students can rely less on fast-food takeaways and enjoy the fun of preparing simple meals with friends while sharing food cultures.</t>
  </si>
  <si>
    <t xml:space="preserve"> 1/F Common Area.Hall G</t>
  </si>
  <si>
    <t>IHMC522</t>
  </si>
  <si>
    <t>樂高®認真玩®：自我探索工作坊</t>
  </si>
  <si>
    <t>LEGO® SERIOUS PLAY®! Self-Reflection Workshop</t>
  </si>
  <si>
    <t>At the end of the workshop, students will be able to:
1. Visualise their thoughts through LEGO® models;
2. Build a culture of co-creation, psychological safety, and mutual trust; and
3. Create a memorable, hands-on experience that leads to real-world action plans.</t>
  </si>
  <si>
    <t>Unlock fresh perspectives on your personal growth, values, and goals – one brick at a time. In this interactive, hands-on workshop, you'll use specialised LEGO® building techniques as a creative tool to think, communicate, and solve problems visually.</t>
  </si>
  <si>
    <t xml:space="preserve">LKKG05
</t>
  </si>
  <si>
    <t>Experienced LEGO® SERIOUS PLAY® trainers</t>
  </si>
  <si>
    <t>IHMC487</t>
  </si>
  <si>
    <t>尋覓香氣：調香工作坊</t>
  </si>
  <si>
    <t>Journey of Hand-made Perfume</t>
  </si>
  <si>
    <t>At the end of the workshop, students will be able to:
1. Explore different types of notes and blending techniques;
2. Gain knowledge about a variety of oils and aromas; and
3. Discover their personal scent profile and preferences.</t>
  </si>
  <si>
    <t>A natural perfume can stablise your mood and emotions. This is a fun and creative workshop where participants can learn how to make their own personalised scent using natural ingredients. They will be guided by a professional aromatherapist who will teach the basics of perfume making.</t>
  </si>
  <si>
    <t xml:space="preserve">LKK105
</t>
  </si>
  <si>
    <t>Elaine</t>
  </si>
  <si>
    <t>Registered Aromatherapist of IFPA</t>
  </si>
  <si>
    <t>IHMC523</t>
  </si>
  <si>
    <t>IDE</t>
  </si>
  <si>
    <t>香港仔華人永遠墳場導賞</t>
  </si>
  <si>
    <t>Guided Tour: Aberdeen Chinese Permanent Cemetery</t>
  </si>
  <si>
    <t>At the end of the tour, students will be able to:
1. Delve into the local history of Hong Kong via the stories of the landmark;
2. Learn about the management of cemeteries in Hong Kong; and
3. Promote the sense of belonging in Hong Kong.</t>
  </si>
  <si>
    <t>Established in 1915 as Hong Kong's first permanent burial ground for the local Chinese community, the Aberdeen Chinese Permanent Cemetery is a dramatic, terraced city of stone cascading down the southern hills of Hong Kong Island. As you navigate the winding concrete staircases, you will discover the resting places of the city's early pioneers.</t>
  </si>
  <si>
    <t>Aberdeen Chinese Permanent Cemetery
(香港仔華人永遠墳場)</t>
  </si>
  <si>
    <t>Billy</t>
  </si>
  <si>
    <t>Director of the Society of Hong Kong History</t>
  </si>
  <si>
    <t>Aberdeen Chinese Permanent Cemetery
(Shek Pai Wan Road, Tin Wan)
香港仔華人永遠墳場牌坊(香港仔石排灣道)</t>
  </si>
  <si>
    <t xml:space="preserve">Open To ALL
This activity shall observe the University guidelines on adverse weather arrangements.
</t>
  </si>
  <si>
    <t>Mr. Thomas HUNG</t>
  </si>
  <si>
    <t>kinglamhung@LN.edu.hk</t>
  </si>
  <si>
    <t>IHMC300</t>
  </si>
  <si>
    <t xml:space="preserve">JCNH Hall </t>
  </si>
  <si>
    <t>Warden's Office</t>
  </si>
  <si>
    <t xml:space="preserve"> 賽馬會博雅堂(JCNH) 主辦</t>
  </si>
  <si>
    <t>Organised by Jockey Club New Hall H (JCNH)</t>
  </si>
  <si>
    <t>自我認識：性格透視®工作坊</t>
  </si>
  <si>
    <t xml:space="preserve">Self-understanding: Personality Dimensions® Workshop
</t>
  </si>
  <si>
    <t>At the end of the activity, students will be able to:
1. Know about your personality preference from a personality assessment; 
2. Understand and embrace personality differences and uniqueness between different students; and
3. Reflect and respond to the multi-cultural environment of the hostel community.</t>
  </si>
  <si>
    <t>This workshop will give students a basic introduction to personality preference from a personality assessment. Students will learn about the uniqueness of different dimensions and their communication styles, including Inquiring Green, Resourceful Orange, Organized Gold, and Authentic Blue. Some practical tips to facilitate students to appreciate different people around the Lingnan campus will be shared.</t>
  </si>
  <si>
    <t>Ching Yi</t>
  </si>
  <si>
    <t>Hostel Tutor of Jockey Club New Hall (JCNH) with Personality Dimensions ®️ Facilitator (Level 1) Certification</t>
  </si>
  <si>
    <t>Karie CHAN</t>
  </si>
  <si>
    <t>kariechan@LN.edu.hk</t>
  </si>
  <si>
    <t>IHMC524</t>
  </si>
  <si>
    <t xml:space="preserve">Nature in Mind: Visit Kadoorie Farm &amp; Botanic Garden and Recharge </t>
  </si>
  <si>
    <t xml:space="preserve">At the end of the activity, students will be able to:
1. Explore, experience and connect with nature through guided walks, plant and wildlife observation, and hands‑on engagement with the natural environment; 
2. Introduce to students to more about the conservation, farming and animal‑rescue mission of Kadoorie Farm and Botanic Garden; and
3.  Engage with fellow participants through shared, enriching experiences during the visit, especially for students who are keen about nature and climate change efforts. </t>
  </si>
  <si>
    <t>This programme seeks to educate students about Hong Kong’s rich natural, cultural, and environmental heritage through an onsite visit to Kadoorie Farm and Botanic Garden. By walking through its lush woodlands, terraced gardens, and animal‑rescue areas, students will actively experience the farm’s scenic landscape, facilitating harmonic interaction between participants and nature. The visit is designed to offer a practical and enriching break from academic life, especially for students who love nature and enjoy outdoor exploration.</t>
  </si>
  <si>
    <t>Kadoorie Farm &amp; Botanic Garden</t>
  </si>
  <si>
    <t>Mwaba Moono</t>
  </si>
  <si>
    <t>CHIPILI</t>
  </si>
  <si>
    <t>Hostel Tutor of Jockey Club New Hall H; Teaching Assistant , Department of Psychology, The Chinese University of Hong Kong</t>
  </si>
  <si>
    <t>Skylight, Lingnan University</t>
  </si>
  <si>
    <t xml:space="preserve">Open to ALL
1) For the event, please wear comfortable clothing (e.g., sportswear, long loose pants, sneakers, etc) and bring your own umbrella, bug spray, water, sunscreen and snacks;
2) Please be aware of the KFBG Bylaw under the KFBG Ordinance (Cap 1156). In particular visitors must maintain peace and quiet, and behave in an orderly manner; no plants or parts of plants, or animals may be removed from the site, or brought into the site; No feeding of any animal at KFBG;
3) KFBG will be closed under bad weather conditions, including the issuance of a Black Rainstorm Warning, Red Rainstorm Warning, Landslip Warning, or Typhoon Signal No. 8 or above. It will remain open under an Amber Rainstorm Warning, Thunderstorm Warning, or Typhoon Signal No. 1 or No. 3. However, visitors are advised to avoid the upper areas for safety reasons.
</t>
  </si>
  <si>
    <t>CHIPILI Mwaba Moono</t>
  </si>
  <si>
    <t>mwabamoonochipili@ln.hk</t>
  </si>
  <si>
    <t>IHMC525</t>
  </si>
  <si>
    <t xml:space="preserve">A Taste of African Culture and Cuisine </t>
  </si>
  <si>
    <t>At the end of the activity, students will be able to:
1. Historical Literacy: Identify at least three key historical parallels between African and Asian anti-imperialist struggles, with specific reference to the Bandung Spirit of 1955 and the shared experience of colonial resistance; 
2. Cultural Appreciation: Gain an introduction to Africa by virtually experiencing African culture through Ghanaian perspectives; and
3. Culinary Experience: Learn about the diverse culinary traditions among Ghanaian ethnic groups and sample nkosua ne meko, a popular street food, as well as kelewele (spicy fried plantains).</t>
  </si>
  <si>
    <t xml:space="preserve">This event offers a multi-sensory journey into an  African experience, specifically tailored to resonate with an international audience. The programme is structured into three distinct yet interconnected segments: knowledge literacy, virtual tour and gastromic experience. </t>
  </si>
  <si>
    <t xml:space="preserve">Kwaku Obeng </t>
  </si>
  <si>
    <t>EFFAH</t>
  </si>
  <si>
    <t xml:space="preserve">Hostel Tutor of Jockey Club New Hall H; PhD Candidate, Department of Government and International Affairs </t>
  </si>
  <si>
    <t xml:space="preserve">EFFAH Kwaku Obeng </t>
  </si>
  <si>
    <t>kwakuobengeffah@ln.hk</t>
  </si>
  <si>
    <t>IHMC057</t>
  </si>
  <si>
    <t xml:space="preserve">WHC Hall </t>
  </si>
  <si>
    <t>黃浩川堂 (WHC) 主辦</t>
  </si>
  <si>
    <t>Organised by Wong Hoo Chuen Hall (WHC)</t>
  </si>
  <si>
    <t>For Local Students</t>
  </si>
  <si>
    <t>At the end of the activity, students will be able to: 
1. Get to know the Warden's Office Team;
2. Familiar with the key rules and regulations governing the hostels that help them understand their rights and responsibilities as hostel residents; and 
3. Gain insights into the various resources, services, and opportunities available to them as hostel residents.</t>
  </si>
  <si>
    <t>Warden's Office is a group of residential staff who enforce hostel rules and provide pastoral care to student residents. In this meeting, student residents will get to know the members of Warden's Office, meet WHC residents and learn some tips to kick-start your wonderful WHC life!</t>
  </si>
  <si>
    <t>SEK317</t>
  </si>
  <si>
    <t>Jonathan</t>
  </si>
  <si>
    <t>FONG</t>
  </si>
  <si>
    <t xml:space="preserve">Warden of WHC Hall </t>
  </si>
  <si>
    <t>Nans LEUNG</t>
  </si>
  <si>
    <t>nansleung@LN.edu.hk</t>
  </si>
  <si>
    <t>For Non-local Students</t>
  </si>
  <si>
    <t>IHMC303</t>
  </si>
  <si>
    <t>黃浩川堂歡迎晚宴 - 學習可持續發展</t>
  </si>
  <si>
    <t>Learning SDGs @ Welcoming Dinner for WHC Residents</t>
  </si>
  <si>
    <t>At the end of the activity, students will be able to: 
1. Get to know other WHC residents;
2. Learn the Sustainable Development Goals, hostel culture and appreciate diversity in WHC; and
3. Gain insights into the various resources, services, and opportunities available to them as hostel residents.</t>
  </si>
  <si>
    <t>This is a welcoming dinner for all WHC residents including exchange students, and local and non-local students. The theme of the dinner is "Sustainable Living in WHC".</t>
  </si>
  <si>
    <t>Lingnan House</t>
  </si>
  <si>
    <t>IHMC526</t>
  </si>
  <si>
    <t>騎閱時光：解鎖香港單車百年往事</t>
  </si>
  <si>
    <t>A Century of Cycling Development in Hong Kong</t>
  </si>
  <si>
    <t xml:space="preserve">At the end of the activity, students will be able to:
1. Identify and describe key historical patterns of cycling development and evolution in Hong Kong;
2.  Explain how local economic, social, and cultural conditions shape the rise and changes of cycling culture in Hong Kong; and
3. Connect Hong Kong’s cycling history to the city’s broader urban‑development and social‑life narratives. </t>
  </si>
  <si>
    <t>Bicycles have seen dramatic functional shifts in Hong Kong: once vital daily transport, they now serve recreational and competitive sports. These major changes tie closely to the city’s socio‑economic development. Speaker Ms. Tiffany Yung, a Lingnan University alumna, co‑wrote Hong Kong’s first cycling‑history monograph in 2023. Drawing on newspaper clippings, photos, interviews and other archival materials, she gathers little‑known firsthand cycling narratives to reconstruct vivid scenes of old Hong Kong.</t>
  </si>
  <si>
    <t>Tiffany</t>
    <phoneticPr fontId="0" type="noConversion"/>
  </si>
  <si>
    <t>YUNG</t>
    <phoneticPr fontId="0" type="noConversion"/>
  </si>
  <si>
    <r>
      <t>Lingnan Alumni, Researcher of the Hong Kong Chronicles
Institute, co</t>
    </r>
    <r>
      <rPr>
        <sz val="11"/>
        <color theme="1"/>
        <rFont val="Cambria Math"/>
        <family val="2"/>
        <charset val="1"/>
      </rPr>
      <t>‑</t>
    </r>
    <r>
      <rPr>
        <sz val="11"/>
        <color theme="1"/>
        <rFont val="Calibri"/>
        <family val="2"/>
        <scheme val="minor"/>
      </rPr>
      <t>author of Hong</t>
    </r>
    <r>
      <rPr>
        <sz val="11"/>
        <color theme="1"/>
        <rFont val="Times New Roman"/>
        <family val="2"/>
      </rPr>
      <t> </t>
    </r>
    <r>
      <rPr>
        <sz val="11"/>
        <color theme="1"/>
        <rFont val="Calibri"/>
        <family val="2"/>
        <scheme val="minor"/>
      </rPr>
      <t>Kong’s first monograph on cycling history</t>
    </r>
  </si>
  <si>
    <t>Christine FU</t>
  </si>
  <si>
    <t>jiayingfu@LN.edu.hk</t>
    <phoneticPr fontId="0" type="noConversion"/>
  </si>
  <si>
    <t>IHMC527</t>
  </si>
  <si>
    <t>中秋迷你冰皮月餅工作坊</t>
  </si>
  <si>
    <t>Mid-Autumn Mini Snowy Mooncake Workshop</t>
  </si>
  <si>
    <t>At the end of the activity, students will be able to:
1. Learn the cultural background of the Mid-Autumn Festival and mooncakes; and
2. Master the step-by-step process of making snowy mooncakes; and
3. Craft and enjoy your own homemade mooncakes.</t>
  </si>
  <si>
    <t>Join this hands-on workshop to celebrate the Mid-Autumn Festival on a relaxing evening with new friends. You will learn traditional Chinese mooncake-making, craft your own mini snowy mooncakes, and discover the cultural artistry behind this beloved tradition.</t>
  </si>
  <si>
    <t>Cici</t>
  </si>
  <si>
    <t>ZENG</t>
  </si>
  <si>
    <t>Pastry Chef</t>
  </si>
  <si>
    <t>Faye ZHENG</t>
  </si>
  <si>
    <t>huizheng@ln.edu.hk</t>
  </si>
  <si>
    <t>IHCM528</t>
  </si>
  <si>
    <t>中國菜的全球化</t>
  </si>
  <si>
    <t>Chinese Food in the World</t>
  </si>
  <si>
    <t>At the end of the activity, students will be able to: 
1. Identify and describe key historical patterns of Chinese culinary migration and adaptation across different world regions;
2. Explain how local economic, social, and cultural conditions influence the transformation of Chinese food abroad; and
3. Connect global patterns of Chinese food adaptation to China’s own unique culinary identity and history</t>
  </si>
  <si>
    <t xml:space="preserve">As Chinese cuisine spreads across the world, it's transforming global food culture – one dish at a time. Join this online seminar to explore how Chinese food has crossed borders, adapted to local tastes, and become a symbol of cultural exchange. Perfect for students curious about food, globalization, and identity. Discover the stories behind your favourite dishes and gain insight into how cuisine connects cultures worldwide. All are welcome. No prior knowledge required!
</t>
  </si>
  <si>
    <t>Tim</t>
  </si>
  <si>
    <t>SUMMERS</t>
  </si>
  <si>
    <t>Associate Professor, Centre for China Studies,
Chinese University of Hong Kong</t>
  </si>
  <si>
    <t>Cecilia CHAN</t>
  </si>
  <si>
    <t>ceciliachan@LN.edu.hk</t>
  </si>
  <si>
    <t>IHMC306</t>
  </si>
  <si>
    <t>一夜好眠小撇步 - 睡眠衛生工作坊</t>
  </si>
  <si>
    <t>Workshop on Sleep Hygiene to Help You Sleep Better</t>
  </si>
  <si>
    <t>At the end of the activity, students will be able to:
1. Learn the importance of sleep hygiene;
2. Review their sleeping and living habits; and
3. Apply sleep hygiene tips to reduce insomnia.</t>
  </si>
  <si>
    <t>The speaker will introduce the basics of sleep hygiene, conduct individual sleep hygiene review, and provide useful tips to help you sleep better.</t>
  </si>
  <si>
    <t>MBG09</t>
  </si>
  <si>
    <t>Vincent</t>
  </si>
  <si>
    <t>Registered Social Worker</t>
  </si>
  <si>
    <t>IHMC304</t>
  </si>
  <si>
    <t>流體畫工作坊</t>
  </si>
  <si>
    <t>Fluid Art Workshop</t>
  </si>
  <si>
    <t>At the end of the activity, students will be able to:
1. Familiarize thirselves with the history and techniques of Fluid Art; and
2.  Discover a new method for relaxation and stress relief.</t>
  </si>
  <si>
    <t>Fluid art does not require professional knowledge. Even if you have never learned to paint, you can easily create artworks. By observing the flow of paint on the canvas, it helps you forget about your worries in the moment. It is a great activity for stress relief and healing.</t>
  </si>
  <si>
    <t>Suki</t>
  </si>
  <si>
    <t>Lingnan Alumni</t>
  </si>
  <si>
    <t>Ivy HO</t>
  </si>
  <si>
    <t>hiutingho2@LN.edu.hk</t>
  </si>
  <si>
    <t>IHMC354</t>
  </si>
  <si>
    <t>「粵」拼「粵」過癮</t>
  </si>
  <si>
    <t>A Simple Guide to Jyut Ping (Cantonese Pinyin)</t>
  </si>
  <si>
    <t>At the end of the activity, students will be able to: 
1. Learn the Concept of Cantonese Pinyin, 
2. Highlight the history of Jyut Ping, and
3. Understand Romanization Systems.</t>
  </si>
  <si>
    <t>The seminar introduces the fascinating world of Cantonese pinyin, a vital tool for anyone looking to master this vibrant and tonal language. In this engaging session, you’ll explore the basics of Cantonese phonetics, from consonants and vowels to the unique tonal system that gives Cantonese its musical quality.</t>
  </si>
  <si>
    <t>Wai Kit</t>
  </si>
  <si>
    <t>YUEN</t>
  </si>
  <si>
    <t>Demonstrator and Phd student in the School of Chinese, the University of Hong Kong</t>
  </si>
  <si>
    <t>Evan PUN</t>
  </si>
  <si>
    <t>hoklampun@LN.edu.hk</t>
  </si>
  <si>
    <t>IHMC530</t>
  </si>
  <si>
    <t>「宿」筋鬆骨</t>
  </si>
  <si>
    <t>Strecthing in Hostel</t>
  </si>
  <si>
    <t>At the end of the activity, students will be able to:
1. Learn the stretching techqniue at hotsel room; 
2. Get to know with other WHC residents through partner; and                                                                          
3. Releving study stress through exercise</t>
  </si>
  <si>
    <t>This stretching session is designed for all hostel residents to unwind, relieve travel or study fatigue, and boost overall flexibility. The theme of the session is "Mindful Movement and Relaxation," helping residents maintain a healthy and balanced lifestyle while living together.</t>
  </si>
  <si>
    <t>Chun Ngai</t>
  </si>
  <si>
    <t xml:space="preserve">Hostel Tutor of WHC Hall </t>
  </si>
  <si>
    <t>Jeff CHAN</t>
  </si>
  <si>
    <t>chunngaichan2@ln.hk</t>
  </si>
  <si>
    <t>IHMC533</t>
  </si>
  <si>
    <t>Wu Jieh Yee Hall 
(WJY)</t>
  </si>
  <si>
    <t>伍絜宜堂 (WJY) 主辦</t>
  </si>
  <si>
    <t>Organised by Wu Jieh Yee Hall (WJY)</t>
  </si>
  <si>
    <t>植物生態杯工作坊</t>
  </si>
  <si>
    <t>Mini Eco-Cup Workshop</t>
  </si>
  <si>
    <t>This hands-on workshop offers students a creative break from screens. Using moss, gravel, and plants, each participant builds their own mini ecosystem in a glass cup. The session starts with a brief demonstration on soil layers and plant care, followed by hands-on time to design and decorate their unique eco-cups.</t>
  </si>
  <si>
    <t xml:space="preserve">3/F Common,WJY Hall </t>
  </si>
  <si>
    <t>Trister</t>
  </si>
  <si>
    <t xml:space="preserve">LING </t>
  </si>
  <si>
    <t xml:space="preserve">Artisan </t>
  </si>
  <si>
    <t>Ms. Carmen LIAO</t>
  </si>
  <si>
    <t xml:space="preserve">jiaminliao@LN.edu.hk </t>
  </si>
  <si>
    <t>法律知識分享(刑事篇)</t>
  </si>
  <si>
    <t>Legal Knowledge Sharing (Criminal Procedure)</t>
  </si>
  <si>
    <t xml:space="preserve">Tsz Shing Oscar 黃子誠
</t>
  </si>
  <si>
    <t>Barrister 大律師</t>
  </si>
  <si>
    <t>Mr. KONG Shing Hei</t>
  </si>
  <si>
    <t>shingheikong@ln.edu.hk</t>
  </si>
  <si>
    <t>IHMC531</t>
  </si>
  <si>
    <t>小休一會: 認識校園的生物多樣性</t>
  </si>
  <si>
    <t>Take a Break: Learning about Biodiversity in Lingnan Campus</t>
  </si>
  <si>
    <t>Lingnan Campus</t>
  </si>
  <si>
    <t xml:space="preserve">Teresa </t>
  </si>
  <si>
    <t>SIU</t>
  </si>
  <si>
    <t>Hostel Tutor of WJY Hall</t>
  </si>
  <si>
    <t>Ms. Teresa SIU</t>
  </si>
  <si>
    <t>IHMC532</t>
  </si>
  <si>
    <t>尋音療心：音樂治療師職業分享與澳洲留學經驗</t>
  </si>
  <si>
    <t>Healing Through Music: Career Sharing as a Music Therapist and Study Experience in Australia</t>
  </si>
  <si>
    <t>CHU</t>
  </si>
  <si>
    <t>Music Therapist</t>
  </si>
  <si>
    <t>Ms. Joyce LEUNG</t>
  </si>
  <si>
    <t>hoimingleung@ln.edu.hk</t>
  </si>
  <si>
    <t>At the end of the activity, students will be able to:
1. Have an overview of the Criminal Procedure of Hong Kong
2.  Understand Basic Rights of a Person Under Criminal Procedure
3. Familiarise oneself with courtroom procedures</t>
  </si>
  <si>
    <t>This talk provides a practical introduction to the criminal justice process in Hong Kong for students with no legal background. It will explain the key stages of criminal proceedings, from police investigation and arrest to court hearings, trial, sentencing, and appeals. Participants will gain an understanding of the fundamental rights of suspects and accused persons, the roles of the police, prosecutors, defence lawyers, and judges, as well as the basic principles that ensure a fair trial</t>
  </si>
  <si>
    <t>At the end of the activity, students will be able to:
1. Recognize some commonly seen animals and plants around the campus
2.  Appreciate the beauty of nature in the closest surrounding
3. Make new connections through the walk</t>
  </si>
  <si>
    <t xml:space="preserve">Let's enjoy the walk of biodiversity and relax alongside packed lectures! 
Amid the familiar campus and its surroundings, students will learn about the habitats and living circles of different lives and biodiversity. Students may also take part in the weekly scientific survey carried on butterflies. Come learn more about our little neighbours! </t>
  </si>
  <si>
    <t>At the end of the activity, students will be able to:
1. Understand the basic concepts and common applications of Music Therapy
2. Recognize the possible pathways to becoming a Music Therapist
3. Reflect on how personal interests can be developed into a career</t>
  </si>
  <si>
    <t xml:space="preserve">The talk is delivered by a practising Music Therapist and is aimed at introducing students to the field of Music Therapy. The speaker will share her personal journey from being a teacher in Hong Kong to becoming a Music Therapist, including her study and training experience in Australia. She will also illustrate how she uses music to support and help others in her professional practice. </t>
  </si>
  <si>
    <t>At the end of the activity, students will be able to:
1. Understand the basic structure and functions of different soil layers in a closed terrarium system
2.  Express creativity through personalized decoration and arrangement.
3. Gain an appreciation for the beauty of nature and the value of sustainable, green living.</t>
  </si>
  <si>
    <t>LYH209</t>
  </si>
  <si>
    <t xml:space="preserve">Cancelled </t>
  </si>
  <si>
    <t xml:space="preserve">Updated </t>
  </si>
  <si>
    <t>Chapel (near  LCH UG15)</t>
  </si>
  <si>
    <t>Status</t>
  </si>
  <si>
    <t>Updated</t>
  </si>
  <si>
    <t>Cancelled</t>
  </si>
  <si>
    <t>MBG19/Zoom</t>
  </si>
  <si>
    <t>Caycelled</t>
  </si>
  <si>
    <t>Cayrtuallled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</si>
</sst>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mmm\-yyyy;@"/>
    <numFmt numFmtId="165" formatCode="ddd"/>
    <numFmt numFmtId="166" formatCode="h:mm;@"/>
    <numFmt numFmtId="167" formatCode="yyyy\-mm\-dd;@"/>
  </numFmts>
  <fonts count="48">
    <font>
      <sz val="11"/>
      <color theme="1"/>
      <name val="Calibri"/>
      <family val="2"/>
      <scheme val="minor"/>
    </font>
    <font>
      <b/>
      <sz val="11"/>
      <color theme="0"/>
      <name val="Calibri"/>
      <family val="2"/>
      <scheme val="minor"/>
    </font>
    <font>
      <u/>
      <sz val="11"/>
      <color theme="10"/>
      <name val="Calibri"/>
      <family val="2"/>
      <scheme val="minor"/>
    </font>
    <font>
      <sz val="20"/>
      <color theme="1"/>
      <name val="Calibri"/>
      <family val="2"/>
      <scheme val="minor"/>
    </font>
    <font>
      <b/>
      <sz val="12"/>
      <color rgb="FFFF0000"/>
      <name val="Calibri"/>
      <family val="2"/>
      <scheme val="minor"/>
    </font>
    <font>
      <sz val="14"/>
      <color theme="1"/>
      <name val="Calibri"/>
      <family val="2"/>
      <scheme val="minor"/>
    </font>
    <font>
      <b/>
      <u/>
      <sz val="12"/>
      <color rgb="FFFF0000"/>
      <name val="Calibri"/>
      <family val="2"/>
      <scheme val="minor"/>
    </font>
    <font>
      <b/>
      <i/>
      <u/>
      <sz val="12"/>
      <color rgb="FFFF0000"/>
      <name val="Calibri"/>
      <family val="2"/>
      <scheme val="minor"/>
    </font>
    <font>
      <b/>
      <sz val="10"/>
      <color theme="1"/>
      <name val="Calibri"/>
      <family val="2"/>
      <scheme val="minor"/>
    </font>
    <font>
      <b/>
      <sz val="10"/>
      <name val="Calibri"/>
      <family val="2"/>
      <scheme val="minor"/>
    </font>
    <font>
      <b/>
      <sz val="10"/>
      <name val="Calibri"/>
      <family val="2"/>
    </font>
    <font>
      <b/>
      <sz val="10"/>
      <color theme="1"/>
      <name val="Calibri"/>
      <family val="2"/>
    </font>
    <font>
      <b/>
      <vertAlign val="superscript"/>
      <sz val="10"/>
      <color theme="1"/>
      <name val="Calibri"/>
      <family val="2"/>
    </font>
    <font>
      <sz val="11"/>
      <name val="Calibri"/>
      <family val="2"/>
      <scheme val="minor"/>
    </font>
    <font>
      <sz val="12"/>
      <color theme="1"/>
      <name val="Calibri"/>
      <family val="2"/>
      <scheme val="minor"/>
    </font>
    <font>
      <sz val="11"/>
      <color theme="1"/>
      <name val="Calibri"/>
      <family val="2"/>
      <scheme val="minor"/>
    </font>
    <font>
      <sz val="11"/>
      <color theme="1"/>
      <name val="Calibri"/>
      <family val="2"/>
      <charset val="1"/>
    </font>
    <font>
      <sz val="11"/>
      <color rgb="FF000000"/>
      <name val="Calibri"/>
      <family val="2"/>
      <scheme val="minor"/>
    </font>
    <font>
      <sz val="11"/>
      <color rgb="FF000000"/>
      <name val="Calibri"/>
      <family val="2"/>
    </font>
    <font>
      <sz val="11"/>
      <color rgb="FFFF0000"/>
      <name val="Calibri"/>
      <family val="2"/>
      <scheme val="minor"/>
    </font>
    <font>
      <sz val="12"/>
      <name val="Calibri"/>
      <family val="2"/>
      <scheme val="minor"/>
    </font>
    <font>
      <strike/>
      <sz val="11"/>
      <color rgb="FFFF0000"/>
      <name val="Calibri"/>
      <family val="2"/>
      <scheme val="minor"/>
    </font>
    <font>
      <strike/>
      <sz val="12"/>
      <color rgb="FFFF0000"/>
      <name val="Calibri"/>
      <family val="2"/>
      <scheme val="minor"/>
    </font>
    <font>
      <sz val="11"/>
      <color rgb="FF00B0F0"/>
      <name val="Calibri"/>
      <family val="2"/>
      <scheme val="minor"/>
    </font>
    <font>
      <sz val="12"/>
      <color rgb="FF00B0F0"/>
      <name val="Calibri"/>
      <family val="2"/>
      <scheme val="minor"/>
    </font>
    <font>
      <b/>
      <vertAlign val="superscript"/>
      <sz val="10"/>
      <color theme="1"/>
      <name val="Calibri"/>
      <family val="2"/>
      <scheme val="minor"/>
    </font>
    <font>
      <sz val="12"/>
      <color rgb="FF000000"/>
      <name val="Calibri"/>
      <family val="2"/>
      <scheme val="minor"/>
    </font>
    <font>
      <sz val="14"/>
      <color rgb="FF000000"/>
      <name val="Calibri"/>
      <family val="2"/>
      <scheme val="minor"/>
    </font>
    <font>
      <u/>
      <sz val="12"/>
      <color theme="10"/>
      <name val="Calibri"/>
      <family val="2"/>
      <scheme val="minor"/>
    </font>
    <font>
      <sz val="12"/>
      <color rgb="FF000000"/>
      <name val="Calibri"/>
      <family val="2"/>
    </font>
    <font>
      <b/>
      <sz val="11"/>
      <color theme="1"/>
      <name val="Calibri"/>
      <family val="2"/>
      <scheme val="minor"/>
    </font>
    <font>
      <sz val="11"/>
      <color theme="1"/>
      <name val="Microsoft YaHei"/>
      <family val="2"/>
      <charset val="134"/>
    </font>
    <font>
      <sz val="11"/>
      <color theme="1"/>
      <name val="微軟正黑體"/>
      <family val="2"/>
      <charset val="136"/>
    </font>
    <font>
      <sz val="11"/>
      <color theme="1"/>
      <name val="Calibri"/>
      <family val="2"/>
      <charset val="134"/>
      <scheme val="minor"/>
    </font>
    <font>
      <u/>
      <sz val="11"/>
      <color rgb="FFFF0000"/>
      <name val="Calibri"/>
      <family val="2"/>
      <scheme val="minor"/>
    </font>
    <font>
      <sz val="10"/>
      <color theme="1"/>
      <name val="Calibri"/>
      <family val="2"/>
      <scheme val="minor"/>
    </font>
    <font>
      <sz val="11"/>
      <color theme="1"/>
      <name val="Cambria Math"/>
      <family val="2"/>
      <charset val="1"/>
    </font>
    <font>
      <sz val="11"/>
      <color theme="1"/>
      <name val="Times New Roman"/>
      <family val="2"/>
    </font>
    <font>
      <sz val="11"/>
      <color rgb="FF000000"/>
      <name val="Arial"/>
      <family val="2"/>
    </font>
    <font>
      <sz val="11"/>
      <color rgb="FF080809"/>
      <name val="Segoe UI Historic"/>
      <family val="2"/>
    </font>
    <font>
      <sz val="11"/>
      <color theme="1"/>
      <name val="Calibri"/>
      <family val="2"/>
    </font>
    <font>
      <u/>
      <sz val="11"/>
      <color rgb="FF000000"/>
      <name val="Calibri"/>
      <family val="2"/>
      <scheme val="minor"/>
    </font>
    <font>
      <strike/>
      <sz val="11"/>
      <color theme="1"/>
      <name val="Calibri"/>
      <family val="2"/>
      <scheme val="minor"/>
    </font>
    <font>
      <sz val="11"/>
      <color rgb="FF006100"/>
      <name val="Calibri"/>
      <family val="2"/>
    </font>
    <font>
      <b/>
      <sz val="10"/>
      <color theme="1"/>
      <name val="Aptos"/>
      <family val="2"/>
    </font>
    <font>
      <strike/>
      <sz val="11"/>
      <name val="Calibri"/>
      <family val="2"/>
      <scheme val="minor"/>
    </font>
    <font>
      <strike/>
      <u/>
      <sz val="11"/>
      <color theme="10"/>
      <name val="Calibri"/>
      <family val="2"/>
      <scheme val="minor"/>
    </font>
    <font>
      <sz val="12"/>
      <color rgb="FFFF0000"/>
      <name val="Calibri"/>
      <family val="2"/>
      <scheme val="minor"/>
    </font>
  </fonts>
  <fills count="2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
      <patternFill patternType="solid">
        <fgColor theme="8" tint="0.39997558519241921"/>
        <bgColor indexed="64"/>
      </patternFill>
    </fill>
    <fill>
      <patternFill patternType="solid">
        <fgColor theme="5" tint="0.79998168889431442"/>
        <bgColor indexed="64"/>
      </patternFill>
    </fill>
    <fill>
      <patternFill patternType="solid">
        <fgColor rgb="FFFFC000"/>
        <bgColor theme="9"/>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DDEBF7"/>
        <bgColor rgb="FF000000"/>
      </patternFill>
    </fill>
    <fill>
      <patternFill patternType="solid">
        <fgColor rgb="FF00B0F0"/>
        <bgColor rgb="FF000000"/>
      </patternFill>
    </fill>
    <fill>
      <patternFill patternType="solid">
        <fgColor rgb="FFD9D9D9"/>
        <bgColor rgb="FF000000"/>
      </patternFill>
    </fill>
    <fill>
      <patternFill patternType="solid">
        <fgColor rgb="FF92D050"/>
        <bgColor indexed="64"/>
      </patternFill>
    </fill>
    <fill>
      <patternFill patternType="solid">
        <fgColor rgb="FFF622EC"/>
        <bgColor indexed="64"/>
      </patternFill>
    </fill>
    <fill>
      <patternFill patternType="solid">
        <fgColor rgb="FF92D050"/>
        <bgColor rgb="FF000000"/>
      </patternFill>
    </fill>
    <fill>
      <patternFill patternType="solid">
        <fgColor theme="7" tint="0.59999389629810485"/>
        <bgColor indexed="64"/>
      </patternFill>
    </fill>
    <fill>
      <patternFill patternType="solid">
        <fgColor theme="7" tint="0.59999389629810485"/>
        <bgColor rgb="FF000000"/>
      </patternFill>
    </fill>
    <fill>
      <patternFill patternType="solid">
        <fgColor rgb="FFFFFF00"/>
        <bgColor rgb="FF000000"/>
      </patternFill>
    </fill>
    <fill>
      <patternFill patternType="solid">
        <fgColor theme="9" tint="0.59999389629810485"/>
        <bgColor indexed="64"/>
      </patternFill>
    </fill>
    <fill>
      <patternFill patternType="solid">
        <fgColor theme="5" tint="0.39997558519241921"/>
        <bgColor indexed="64"/>
      </patternFill>
    </fill>
    <fill>
      <patternFill patternType="solid">
        <fgColor theme="8" tint="0.79995117038483843"/>
        <bgColor indexed="64"/>
      </patternFill>
    </fill>
    <fill>
      <patternFill patternType="solid">
        <fgColor theme="0" tint="-0.14996795556505021"/>
        <bgColor indexed="64"/>
      </patternFill>
    </fill>
    <fill>
      <patternFill patternType="solid">
        <fgColor theme="2" tint="-9.9978637043366805E-2"/>
        <bgColor indexed="64"/>
      </patternFill>
    </fill>
    <fill>
      <patternFill patternType="solid">
        <fgColor rgb="FFDEEAF6"/>
        <bgColor rgb="FFDEEAF6"/>
      </patternFill>
    </fill>
    <fill>
      <patternFill patternType="solid">
        <fgColor rgb="FFC6EFCE"/>
        <bgColor rgb="FF000000"/>
      </patternFill>
    </fill>
  </fills>
  <borders count="70">
    <border>
      <left/>
      <right/>
      <top/>
      <bottom/>
      <diagonal/>
    </border>
    <border>
      <left style="double">
        <color rgb="FFFF0000"/>
      </left>
      <right/>
      <top style="double">
        <color rgb="FFFF0000"/>
      </top>
      <bottom/>
      <diagonal/>
    </border>
    <border>
      <left/>
      <right/>
      <top style="double">
        <color rgb="FFFF0000"/>
      </top>
      <bottom style="double">
        <color rgb="FFFF0000"/>
      </bottom>
      <diagonal/>
    </border>
    <border>
      <left/>
      <right style="double">
        <color rgb="FFFF0000"/>
      </right>
      <top style="double">
        <color rgb="FFFF0000"/>
      </top>
      <bottom style="double">
        <color rgb="FFFF0000"/>
      </bottom>
      <diagonal/>
    </border>
    <border>
      <left style="double">
        <color rgb="FFFF0000"/>
      </left>
      <right/>
      <top style="double">
        <color rgb="FFFF0000"/>
      </top>
      <bottom style="double">
        <color rgb="FFFF0000"/>
      </bottom>
      <diagonal/>
    </border>
    <border>
      <left style="double">
        <color rgb="FFFF0000"/>
      </left>
      <right style="double">
        <color rgb="FFFF0000"/>
      </right>
      <top style="double">
        <color rgb="FFFF0000"/>
      </top>
      <bottom style="double">
        <color rgb="FFFF0000"/>
      </bottom>
      <diagonal/>
    </border>
    <border>
      <left/>
      <right/>
      <top/>
      <bottom style="thin">
        <color indexed="64"/>
      </bottom>
      <diagonal/>
    </border>
    <border>
      <left/>
      <right style="double">
        <color rgb="FFFF0000"/>
      </right>
      <top/>
      <bottom style="thin">
        <color indexed="64"/>
      </bottom>
      <diagonal/>
    </border>
    <border>
      <left style="thin">
        <color indexed="64"/>
      </left>
      <right/>
      <top style="thin">
        <color indexed="64"/>
      </top>
      <bottom style="thin">
        <color indexed="64"/>
      </bottom>
      <diagonal/>
    </border>
    <border>
      <left style="double">
        <color rgb="FFFF0000"/>
      </left>
      <right style="thin">
        <color indexed="64"/>
      </right>
      <top style="thin">
        <color indexed="64"/>
      </top>
      <bottom style="thin">
        <color indexed="64"/>
      </bottom>
      <diagonal/>
    </border>
    <border>
      <left style="thin">
        <color indexed="64"/>
      </left>
      <right style="thin">
        <color indexed="64"/>
      </right>
      <top style="double">
        <color rgb="FFFF0000"/>
      </top>
      <bottom style="thin">
        <color indexed="64"/>
      </bottom>
      <diagonal/>
    </border>
    <border>
      <left style="thin">
        <color indexed="64"/>
      </left>
      <right/>
      <top style="double">
        <color rgb="FFFF0000"/>
      </top>
      <bottom style="thin">
        <color indexed="64"/>
      </bottom>
      <diagonal/>
    </border>
    <border>
      <left style="thin">
        <color indexed="64"/>
      </left>
      <right style="double">
        <color rgb="FFFF0000"/>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double">
        <color rgb="FFFF0000"/>
      </left>
      <right style="thin">
        <color indexed="64"/>
      </right>
      <top style="double">
        <color rgb="FFFF0000"/>
      </top>
      <bottom style="thin">
        <color indexed="64"/>
      </bottom>
      <diagonal/>
    </border>
    <border>
      <left style="thin">
        <color indexed="64"/>
      </left>
      <right style="double">
        <color rgb="FFFF0000"/>
      </right>
      <top style="double">
        <color rgb="FFFF0000"/>
      </top>
      <bottom style="thin">
        <color indexed="64"/>
      </bottom>
      <diagonal/>
    </border>
    <border>
      <left/>
      <right style="thin">
        <color indexed="64"/>
      </right>
      <top style="thin">
        <color indexed="64"/>
      </top>
      <bottom style="thin">
        <color indexed="64"/>
      </bottom>
      <diagonal/>
    </border>
    <border>
      <left style="double">
        <color rgb="FFFF0000"/>
      </left>
      <right style="thin">
        <color indexed="64"/>
      </right>
      <top/>
      <bottom style="thin">
        <color indexed="64"/>
      </bottom>
      <diagonal/>
    </border>
    <border>
      <left/>
      <right/>
      <top style="double">
        <color rgb="FFFF0000"/>
      </top>
      <bottom style="thin">
        <color indexed="64"/>
      </bottom>
      <diagonal/>
    </border>
    <border>
      <left style="thin">
        <color indexed="64"/>
      </left>
      <right style="double">
        <color rgb="FFFF0000"/>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rgb="FFFF0000"/>
      </left>
      <right style="thin">
        <color indexed="64"/>
      </right>
      <top style="thin">
        <color indexed="64"/>
      </top>
      <bottom style="thin">
        <color indexed="64"/>
      </bottom>
      <diagonal/>
    </border>
    <border>
      <left style="thin">
        <color indexed="64"/>
      </left>
      <right style="medium">
        <color rgb="FFFF0000"/>
      </right>
      <top style="thin">
        <color indexed="64"/>
      </top>
      <bottom style="thin">
        <color indexed="64"/>
      </bottom>
      <diagonal/>
    </border>
    <border>
      <left style="thin">
        <color indexed="64"/>
      </left>
      <right style="double">
        <color rgb="FFFF0000"/>
      </right>
      <top style="thin">
        <color indexed="64"/>
      </top>
      <bottom/>
      <diagonal/>
    </border>
    <border>
      <left style="thin">
        <color indexed="64"/>
      </left>
      <right style="double">
        <color rgb="FFFF0000"/>
      </right>
      <top/>
      <bottom/>
      <diagonal/>
    </border>
    <border>
      <left style="thin">
        <color rgb="FF000000"/>
      </left>
      <right style="thin">
        <color rgb="FF000000"/>
      </right>
      <top/>
      <bottom/>
      <diagonal/>
    </border>
    <border>
      <left style="thin">
        <color indexed="64"/>
      </left>
      <right style="mediumDashed">
        <color rgb="FFFF0000"/>
      </right>
      <top style="thin">
        <color indexed="64"/>
      </top>
      <bottom style="thin">
        <color indexed="64"/>
      </bottom>
      <diagonal/>
    </border>
    <border>
      <left/>
      <right style="medium">
        <color rgb="FFFF0000"/>
      </right>
      <top style="thin">
        <color indexed="64"/>
      </top>
      <bottom style="thin">
        <color indexed="64"/>
      </bottom>
      <diagonal/>
    </border>
    <border>
      <left style="double">
        <color rgb="FFFF0000"/>
      </left>
      <right/>
      <top style="thin">
        <color indexed="64"/>
      </top>
      <bottom style="thin">
        <color indexed="64"/>
      </bottom>
      <diagonal/>
    </border>
    <border>
      <left style="double">
        <color rgb="FFFF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double">
        <color rgb="FFFF0000"/>
      </right>
      <top style="thin">
        <color indexed="64"/>
      </top>
      <bottom style="thin">
        <color rgb="FF000000"/>
      </bottom>
      <diagonal/>
    </border>
    <border>
      <left/>
      <right style="double">
        <color rgb="FFFF0000"/>
      </right>
      <top style="thin">
        <color indexed="64"/>
      </top>
      <bottom style="thin">
        <color indexed="64"/>
      </bottom>
      <diagonal/>
    </border>
    <border>
      <left/>
      <right style="thin">
        <color indexed="64"/>
      </right>
      <top style="double">
        <color rgb="FFFF0000"/>
      </top>
      <bottom style="thin">
        <color indexed="64"/>
      </bottom>
      <diagonal/>
    </border>
    <border>
      <left style="thin">
        <color theme="1"/>
      </left>
      <right style="double">
        <color rgb="FFFF0000"/>
      </right>
      <top style="thin">
        <color indexed="64"/>
      </top>
      <bottom style="thin">
        <color indexed="64"/>
      </bottom>
      <diagonal/>
    </border>
    <border>
      <left style="double">
        <color rgb="FFFF0000"/>
      </left>
      <right/>
      <top/>
      <bottom style="thin">
        <color indexed="64"/>
      </bottom>
      <diagonal/>
    </border>
    <border>
      <left style="double">
        <color rgb="FFFF0000"/>
      </left>
      <right style="thin">
        <color theme="1"/>
      </right>
      <top style="thin">
        <color indexed="64"/>
      </top>
      <bottom style="thin">
        <color indexed="64"/>
      </bottom>
      <diagonal/>
    </border>
    <border>
      <left style="medium">
        <color rgb="FFFF0000"/>
      </left>
      <right style="thin">
        <color indexed="64"/>
      </right>
      <top style="thin">
        <color indexed="64"/>
      </top>
      <bottom/>
      <diagonal/>
    </border>
    <border>
      <left style="double">
        <color rgb="FFFF0000"/>
      </left>
      <right style="medium">
        <color rgb="FFFF0000"/>
      </right>
      <top style="thin">
        <color indexed="64"/>
      </top>
      <bottom style="thin">
        <color indexed="64"/>
      </bottom>
      <diagonal/>
    </border>
    <border>
      <left style="thin">
        <color indexed="64"/>
      </left>
      <right/>
      <top style="thin">
        <color indexed="64"/>
      </top>
      <bottom style="thin">
        <color rgb="FF000000"/>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style="double">
        <color rgb="FFFF0000"/>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rgb="FFFF0000"/>
      </right>
      <top style="thin">
        <color indexed="64"/>
      </top>
      <bottom/>
      <diagonal/>
    </border>
    <border>
      <left/>
      <right style="double">
        <color rgb="FFFF0000"/>
      </right>
      <top style="thin">
        <color indexed="64"/>
      </top>
      <bottom/>
      <diagonal/>
    </border>
    <border>
      <left style="thin">
        <color indexed="64"/>
      </left>
      <right style="medium">
        <color rgb="FFFF0000"/>
      </right>
      <top style="thin">
        <color indexed="64"/>
      </top>
      <bottom/>
      <diagonal/>
    </border>
    <border>
      <left style="thin">
        <color indexed="64"/>
      </left>
      <right/>
      <top style="thin">
        <color indexed="64"/>
      </top>
      <bottom/>
      <diagonal/>
    </border>
    <border>
      <left style="thin">
        <color indexed="64"/>
      </left>
      <right style="mediumDashed">
        <color rgb="FFFF0000"/>
      </right>
      <top style="thin">
        <color indexed="64"/>
      </top>
      <bottom/>
      <diagonal/>
    </border>
    <border>
      <left/>
      <right/>
      <top style="thin">
        <color indexed="64"/>
      </top>
      <bottom/>
      <diagonal/>
    </border>
    <border>
      <left style="double">
        <color rgb="FFFF0000"/>
      </left>
      <right/>
      <top style="thin">
        <color indexed="64"/>
      </top>
      <bottom/>
      <diagonal/>
    </border>
    <border>
      <left style="thin">
        <color indexed="64"/>
      </left>
      <right style="thin">
        <color indexed="64"/>
      </right>
      <top/>
      <bottom/>
      <diagonal/>
    </border>
    <border>
      <left style="double">
        <color rgb="FFFF0000"/>
      </left>
      <right style="medium">
        <color rgb="FFFF0000"/>
      </right>
      <top style="thin">
        <color indexed="64"/>
      </top>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double">
        <color rgb="FFFF0000"/>
      </left>
      <right style="thin">
        <color rgb="FF000000"/>
      </right>
      <top style="thin">
        <color rgb="FF000000"/>
      </top>
      <bottom style="thin">
        <color rgb="FF000000"/>
      </bottom>
      <diagonal/>
    </border>
    <border>
      <left style="thin">
        <color rgb="FF000000"/>
      </left>
      <right style="double">
        <color rgb="FFFF0000"/>
      </right>
      <top style="thin">
        <color rgb="FF000000"/>
      </top>
      <bottom style="thin">
        <color rgb="FF000000"/>
      </bottom>
      <diagonal/>
    </border>
    <border>
      <left/>
      <right/>
      <top style="thin">
        <color rgb="FF000000"/>
      </top>
      <bottom style="thin">
        <color rgb="FF000000"/>
      </bottom>
      <diagonal/>
    </border>
    <border>
      <left style="double">
        <color rgb="FFFF0000"/>
      </left>
      <right style="thin">
        <color rgb="FF000000"/>
      </right>
      <top/>
      <bottom style="thin">
        <color rgb="FF000000"/>
      </bottom>
      <diagonal/>
    </border>
    <border>
      <left style="thin">
        <color rgb="FF000000"/>
      </left>
      <right style="double">
        <color rgb="FFFF0000"/>
      </right>
      <top/>
      <bottom style="thin">
        <color rgb="FF000000"/>
      </bottom>
      <diagonal/>
    </border>
    <border>
      <left style="thin">
        <color rgb="FF000000"/>
      </left>
      <right style="thin">
        <color rgb="FF000000"/>
      </right>
      <top/>
      <bottom style="thin">
        <color rgb="FF000000"/>
      </bottom>
      <diagonal/>
    </border>
    <border>
      <left/>
      <right style="thin">
        <color indexed="64"/>
      </right>
      <top/>
      <bottom/>
      <diagonal/>
    </border>
    <border>
      <left style="thin">
        <color theme="1"/>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882">
    <xf numFmtId="0" fontId="0" fillId="0" borderId="0" xfId="0"/>
    <xf numFmtId="0" fontId="3" fillId="0" borderId="0" xfId="0" applyFont="1" applyAlignment="1">
      <alignment vertical="center" wrapText="1"/>
    </xf>
    <xf numFmtId="0" fontId="5"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4" fillId="2" borderId="5" xfId="0" applyFont="1" applyFill="1" applyBorder="1" applyAlignment="1">
      <alignment horizontal="center" vertical="center" wrapText="1"/>
    </xf>
    <xf numFmtId="0" fontId="0" fillId="0" borderId="7" xfId="0"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wrapText="1"/>
    </xf>
    <xf numFmtId="0" fontId="8" fillId="0" borderId="8" xfId="0" applyFont="1" applyBorder="1" applyAlignment="1">
      <alignment horizontal="center" vertical="center" wrapText="1"/>
    </xf>
    <xf numFmtId="0" fontId="8" fillId="3" borderId="9"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9" fillId="5" borderId="18"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9" fillId="5" borderId="19" xfId="0" applyFont="1" applyFill="1" applyBorder="1" applyAlignment="1">
      <alignment horizontal="center" vertical="center" wrapText="1"/>
    </xf>
    <xf numFmtId="0" fontId="8" fillId="6" borderId="20" xfId="0" applyFont="1" applyFill="1" applyBorder="1" applyAlignment="1">
      <alignment horizontal="center" vertical="center" wrapText="1"/>
    </xf>
    <xf numFmtId="0" fontId="8" fillId="6" borderId="16"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19"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5" borderId="15" xfId="0" applyFont="1" applyFill="1" applyBorder="1" applyAlignment="1">
      <alignment horizontal="center" vertical="center" wrapText="1"/>
    </xf>
    <xf numFmtId="0" fontId="8" fillId="5" borderId="16"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8" fillId="5" borderId="20"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6" borderId="18" xfId="0" applyFont="1" applyFill="1" applyBorder="1" applyAlignment="1">
      <alignment horizontal="center" vertical="center" wrapText="1"/>
    </xf>
    <xf numFmtId="0" fontId="8" fillId="6" borderId="22"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8" fillId="6" borderId="15" xfId="0" applyFont="1" applyFill="1" applyBorder="1" applyAlignment="1">
      <alignment horizontal="center" vertical="center" wrapText="1"/>
    </xf>
    <xf numFmtId="0" fontId="8" fillId="6" borderId="14" xfId="0" applyFont="1" applyFill="1" applyBorder="1" applyAlignment="1">
      <alignment horizontal="center" vertical="center" wrapText="1"/>
    </xf>
    <xf numFmtId="0" fontId="10" fillId="5" borderId="16" xfId="0" applyFont="1" applyFill="1" applyBorder="1" applyAlignment="1">
      <alignment horizontal="center" vertical="center" wrapText="1"/>
    </xf>
    <xf numFmtId="0" fontId="10" fillId="5" borderId="15" xfId="0" applyFont="1" applyFill="1" applyBorder="1" applyAlignment="1">
      <alignment horizontal="center" vertical="top" wrapText="1"/>
    </xf>
    <xf numFmtId="0" fontId="11" fillId="4" borderId="16" xfId="0" applyFont="1" applyFill="1" applyBorder="1" applyAlignment="1">
      <alignment horizontal="center" vertical="center" wrapText="1"/>
    </xf>
    <xf numFmtId="0" fontId="11" fillId="7" borderId="16"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8" fillId="0" borderId="0" xfId="0" applyFont="1" applyAlignment="1">
      <alignment horizontal="center" vertical="center" wrapText="1"/>
    </xf>
    <xf numFmtId="0" fontId="0" fillId="0" borderId="12" xfId="0" applyBorder="1" applyAlignment="1">
      <alignment horizontal="center" vertical="center" wrapText="1"/>
    </xf>
    <xf numFmtId="0" fontId="0" fillId="8" borderId="9" xfId="0" applyFill="1" applyBorder="1" applyAlignment="1">
      <alignment horizontal="center" vertical="top" wrapText="1"/>
    </xf>
    <xf numFmtId="0" fontId="0" fillId="8" borderId="16" xfId="0" applyFill="1" applyBorder="1" applyAlignment="1">
      <alignment horizontal="center" vertical="top" wrapText="1"/>
    </xf>
    <xf numFmtId="0" fontId="0" fillId="8" borderId="12" xfId="0" applyFill="1" applyBorder="1" applyAlignment="1" applyProtection="1">
      <alignment horizontal="center" vertical="top" wrapText="1"/>
      <protection locked="0"/>
    </xf>
    <xf numFmtId="0" fontId="0" fillId="9" borderId="20" xfId="0" applyFill="1" applyBorder="1" applyAlignment="1" applyProtection="1">
      <alignment horizontal="center" vertical="top" wrapText="1"/>
      <protection locked="0"/>
    </xf>
    <xf numFmtId="0" fontId="0" fillId="9" borderId="12" xfId="0" applyFill="1" applyBorder="1" applyAlignment="1" applyProtection="1">
      <alignment horizontal="center" vertical="top" wrapText="1"/>
      <protection locked="0"/>
    </xf>
    <xf numFmtId="0" fontId="0" fillId="9" borderId="9" xfId="0" applyFill="1" applyBorder="1" applyAlignment="1" applyProtection="1">
      <alignment horizontal="center" vertical="top" wrapText="1"/>
      <protection locked="0"/>
    </xf>
    <xf numFmtId="0" fontId="0" fillId="9" borderId="16" xfId="0" applyFill="1" applyBorder="1" applyAlignment="1" applyProtection="1">
      <alignment horizontal="center" vertical="top" wrapText="1"/>
      <protection locked="0"/>
    </xf>
    <xf numFmtId="0" fontId="0" fillId="9" borderId="16" xfId="0" applyFill="1" applyBorder="1" applyAlignment="1" applyProtection="1">
      <alignment vertical="top" wrapText="1"/>
      <protection locked="0"/>
    </xf>
    <xf numFmtId="0" fontId="0" fillId="9" borderId="12" xfId="0" applyFill="1" applyBorder="1" applyAlignment="1" applyProtection="1">
      <alignment vertical="top" wrapText="1"/>
      <protection locked="0"/>
    </xf>
    <xf numFmtId="0" fontId="0" fillId="9" borderId="6" xfId="0" applyFill="1" applyBorder="1" applyAlignment="1" applyProtection="1">
      <alignment horizontal="center" vertical="top" wrapText="1"/>
      <protection locked="0"/>
    </xf>
    <xf numFmtId="0" fontId="0" fillId="9" borderId="8" xfId="0" applyFill="1" applyBorder="1" applyAlignment="1" applyProtection="1">
      <alignment horizontal="center" vertical="top" wrapText="1"/>
      <protection locked="0"/>
    </xf>
    <xf numFmtId="0" fontId="0" fillId="9" borderId="9" xfId="0" applyFill="1" applyBorder="1" applyAlignment="1" applyProtection="1">
      <alignment vertical="top" wrapText="1"/>
      <protection locked="0"/>
    </xf>
    <xf numFmtId="0" fontId="0" fillId="3" borderId="16" xfId="0" applyFill="1" applyBorder="1" applyAlignment="1">
      <alignment horizontal="center" vertical="top" wrapText="1"/>
    </xf>
    <xf numFmtId="0" fontId="0" fillId="3" borderId="8" xfId="0" applyFill="1" applyBorder="1" applyAlignment="1">
      <alignment horizontal="center" vertical="top" wrapText="1"/>
    </xf>
    <xf numFmtId="164" fontId="0" fillId="9" borderId="9" xfId="0" applyNumberFormat="1" applyFill="1" applyBorder="1" applyAlignment="1" applyProtection="1">
      <alignment horizontal="center" vertical="top" wrapText="1"/>
      <protection locked="0"/>
    </xf>
    <xf numFmtId="165" fontId="0" fillId="3" borderId="16" xfId="0" applyNumberFormat="1" applyFill="1" applyBorder="1" applyAlignment="1">
      <alignment horizontal="center" vertical="top" wrapText="1"/>
    </xf>
    <xf numFmtId="166" fontId="0" fillId="9" borderId="16" xfId="0" applyNumberFormat="1" applyFill="1" applyBorder="1" applyAlignment="1" applyProtection="1">
      <alignment horizontal="center" vertical="top" wrapText="1"/>
      <protection locked="0"/>
    </xf>
    <xf numFmtId="166" fontId="0" fillId="9" borderId="8" xfId="0" applyNumberFormat="1" applyFill="1" applyBorder="1" applyAlignment="1" applyProtection="1">
      <alignment horizontal="center" vertical="top" wrapText="1"/>
      <protection locked="0"/>
    </xf>
    <xf numFmtId="166" fontId="0" fillId="9" borderId="12" xfId="0" applyNumberFormat="1" applyFill="1" applyBorder="1" applyAlignment="1" applyProtection="1">
      <alignment horizontal="center" vertical="top" wrapText="1"/>
      <protection locked="0"/>
    </xf>
    <xf numFmtId="164" fontId="0" fillId="9" borderId="20" xfId="0" applyNumberFormat="1" applyFill="1" applyBorder="1" applyAlignment="1" applyProtection="1">
      <alignment horizontal="center" vertical="top" wrapText="1"/>
      <protection locked="0"/>
    </xf>
    <xf numFmtId="0" fontId="0" fillId="9" borderId="16" xfId="0" applyFill="1" applyBorder="1" applyAlignment="1" applyProtection="1">
      <alignment horizontal="left" vertical="top" wrapText="1"/>
      <protection locked="0"/>
    </xf>
    <xf numFmtId="0" fontId="0" fillId="9" borderId="8" xfId="0" applyFill="1" applyBorder="1" applyAlignment="1" applyProtection="1">
      <alignment vertical="top" wrapText="1"/>
      <protection locked="0"/>
    </xf>
    <xf numFmtId="0" fontId="0" fillId="9" borderId="17" xfId="0" applyFill="1" applyBorder="1" applyAlignment="1" applyProtection="1">
      <alignment vertical="top" wrapText="1"/>
      <protection locked="0"/>
    </xf>
    <xf numFmtId="0" fontId="0" fillId="9" borderId="20" xfId="0" applyFill="1" applyBorder="1" applyAlignment="1" applyProtection="1">
      <alignment vertical="top" wrapText="1"/>
      <protection locked="0"/>
    </xf>
    <xf numFmtId="0" fontId="0" fillId="8" borderId="16" xfId="0" applyFill="1" applyBorder="1" applyAlignment="1">
      <alignment vertical="top" wrapText="1"/>
    </xf>
    <xf numFmtId="0" fontId="0" fillId="9" borderId="8" xfId="0" applyFill="1" applyBorder="1" applyAlignment="1">
      <alignment vertical="top" wrapText="1"/>
    </xf>
    <xf numFmtId="0" fontId="0" fillId="9" borderId="16" xfId="0" applyFill="1" applyBorder="1" applyAlignment="1">
      <alignment vertical="top" wrapText="1"/>
    </xf>
    <xf numFmtId="0" fontId="0" fillId="8" borderId="16" xfId="0" applyFill="1" applyBorder="1" applyAlignment="1" applyProtection="1">
      <alignment horizontal="center" vertical="top" wrapText="1"/>
      <protection locked="0"/>
    </xf>
    <xf numFmtId="0" fontId="0" fillId="3" borderId="15" xfId="0" applyFill="1" applyBorder="1" applyAlignment="1">
      <alignment horizontal="center" vertical="top" wrapText="1"/>
    </xf>
    <xf numFmtId="0" fontId="0" fillId="9" borderId="17" xfId="0" applyFill="1" applyBorder="1" applyAlignment="1" applyProtection="1">
      <alignment horizontal="center" vertical="top" wrapText="1"/>
      <protection locked="0"/>
    </xf>
    <xf numFmtId="0" fontId="13" fillId="8" borderId="16" xfId="0" applyFont="1" applyFill="1" applyBorder="1" applyAlignment="1">
      <alignment horizontal="center" vertical="top" wrapText="1"/>
    </xf>
    <xf numFmtId="0" fontId="13" fillId="9" borderId="20" xfId="0" applyFont="1" applyFill="1" applyBorder="1" applyAlignment="1" applyProtection="1">
      <alignment horizontal="center" vertical="top" wrapText="1"/>
      <protection locked="0"/>
    </xf>
    <xf numFmtId="0" fontId="13" fillId="9" borderId="12" xfId="0" applyFont="1" applyFill="1" applyBorder="1" applyAlignment="1" applyProtection="1">
      <alignment horizontal="center" vertical="top" wrapText="1"/>
      <protection locked="0"/>
    </xf>
    <xf numFmtId="0" fontId="13" fillId="9" borderId="9" xfId="0" applyFont="1" applyFill="1" applyBorder="1" applyAlignment="1" applyProtection="1">
      <alignment horizontal="center" vertical="top" wrapText="1"/>
      <protection locked="0"/>
    </xf>
    <xf numFmtId="0" fontId="13" fillId="9" borderId="16" xfId="0" applyFont="1" applyFill="1" applyBorder="1" applyAlignment="1" applyProtection="1">
      <alignment horizontal="center" vertical="top" wrapText="1"/>
      <protection locked="0"/>
    </xf>
    <xf numFmtId="0" fontId="13" fillId="9" borderId="12" xfId="0" applyFont="1" applyFill="1" applyBorder="1" applyAlignment="1" applyProtection="1">
      <alignment vertical="top" wrapText="1"/>
      <protection locked="0"/>
    </xf>
    <xf numFmtId="0" fontId="13" fillId="9" borderId="8" xfId="0" applyFont="1" applyFill="1" applyBorder="1" applyAlignment="1" applyProtection="1">
      <alignment horizontal="center" vertical="top" wrapText="1"/>
      <protection locked="0"/>
    </xf>
    <xf numFmtId="0" fontId="13" fillId="9" borderId="9" xfId="0" applyFont="1" applyFill="1" applyBorder="1" applyAlignment="1" applyProtection="1">
      <alignment vertical="top" wrapText="1"/>
      <protection locked="0"/>
    </xf>
    <xf numFmtId="0" fontId="13" fillId="8" borderId="16" xfId="0" applyFont="1" applyFill="1" applyBorder="1" applyAlignment="1">
      <alignment vertical="top" wrapText="1"/>
    </xf>
    <xf numFmtId="0" fontId="13" fillId="9" borderId="8" xfId="0" applyFont="1" applyFill="1" applyBorder="1" applyAlignment="1">
      <alignment vertical="top" wrapText="1"/>
    </xf>
    <xf numFmtId="0" fontId="13" fillId="9" borderId="16" xfId="0" applyFont="1" applyFill="1" applyBorder="1" applyAlignment="1">
      <alignment vertical="top" wrapText="1"/>
    </xf>
    <xf numFmtId="0" fontId="13" fillId="8" borderId="16" xfId="0" applyFont="1" applyFill="1" applyBorder="1" applyAlignment="1" applyProtection="1">
      <alignment horizontal="center" vertical="top" wrapText="1"/>
      <protection locked="0"/>
    </xf>
    <xf numFmtId="166" fontId="0" fillId="9" borderId="25" xfId="0" applyNumberFormat="1" applyFill="1" applyBorder="1" applyAlignment="1" applyProtection="1">
      <alignment horizontal="center" vertical="top" wrapText="1"/>
      <protection locked="0"/>
    </xf>
    <xf numFmtId="0" fontId="14" fillId="9" borderId="25" xfId="0" applyFont="1" applyFill="1" applyBorder="1" applyAlignment="1">
      <alignment vertical="top" wrapText="1"/>
    </xf>
    <xf numFmtId="0" fontId="14" fillId="9" borderId="12" xfId="0" applyFont="1" applyFill="1" applyBorder="1" applyAlignment="1">
      <alignment vertical="top" wrapText="1"/>
    </xf>
    <xf numFmtId="0" fontId="15" fillId="9" borderId="12" xfId="0" applyFont="1" applyFill="1" applyBorder="1" applyAlignment="1">
      <alignment vertical="top" wrapText="1"/>
    </xf>
    <xf numFmtId="0" fontId="13" fillId="9" borderId="26" xfId="0" applyFont="1" applyFill="1" applyBorder="1" applyAlignment="1" applyProtection="1">
      <alignment horizontal="center" vertical="top" wrapText="1"/>
      <protection locked="0"/>
    </xf>
    <xf numFmtId="0" fontId="0" fillId="9" borderId="27" xfId="0" applyFill="1" applyBorder="1" applyAlignment="1" applyProtection="1">
      <alignment horizontal="center" vertical="top" wrapText="1"/>
      <protection locked="0"/>
    </xf>
    <xf numFmtId="0" fontId="0" fillId="9" borderId="26" xfId="0" applyFill="1" applyBorder="1" applyAlignment="1" applyProtection="1">
      <alignment horizontal="center" vertical="top" wrapText="1"/>
      <protection locked="0"/>
    </xf>
    <xf numFmtId="164" fontId="0" fillId="9" borderId="26" xfId="0" applyNumberFormat="1" applyFill="1" applyBorder="1" applyAlignment="1" applyProtection="1">
      <alignment horizontal="center" vertical="top" wrapText="1"/>
      <protection locked="0"/>
    </xf>
    <xf numFmtId="166" fontId="0" fillId="9" borderId="27" xfId="0" applyNumberFormat="1" applyFill="1" applyBorder="1" applyAlignment="1" applyProtection="1">
      <alignment horizontal="center" vertical="top" wrapText="1"/>
      <protection locked="0"/>
    </xf>
    <xf numFmtId="0" fontId="15" fillId="9" borderId="27" xfId="0" applyFont="1" applyFill="1" applyBorder="1" applyAlignment="1">
      <alignment vertical="top" wrapText="1"/>
    </xf>
    <xf numFmtId="0" fontId="16" fillId="9" borderId="28" xfId="0" applyFont="1" applyFill="1" applyBorder="1" applyAlignment="1">
      <alignment vertical="top" wrapText="1"/>
    </xf>
    <xf numFmtId="0" fontId="16" fillId="9" borderId="27" xfId="0" applyFont="1" applyFill="1" applyBorder="1" applyAlignment="1">
      <alignment vertical="top" wrapText="1"/>
    </xf>
    <xf numFmtId="0" fontId="15" fillId="9" borderId="25" xfId="0" applyFont="1" applyFill="1" applyBorder="1" applyAlignment="1">
      <alignment vertical="top" wrapText="1"/>
    </xf>
    <xf numFmtId="0" fontId="14" fillId="9" borderId="23" xfId="0" applyFont="1" applyFill="1" applyBorder="1" applyAlignment="1">
      <alignment vertical="top" wrapText="1"/>
    </xf>
    <xf numFmtId="0" fontId="14" fillId="9" borderId="28" xfId="0" applyFont="1" applyFill="1" applyBorder="1" applyAlignment="1">
      <alignment vertical="top" wrapText="1"/>
    </xf>
    <xf numFmtId="166" fontId="0" fillId="9" borderId="29" xfId="0" applyNumberFormat="1" applyFill="1" applyBorder="1" applyAlignment="1" applyProtection="1">
      <alignment horizontal="center" vertical="top" wrapText="1"/>
      <protection locked="0"/>
    </xf>
    <xf numFmtId="0" fontId="14" fillId="9" borderId="29" xfId="0" applyFont="1" applyFill="1" applyBorder="1" applyAlignment="1">
      <alignment vertical="top" wrapText="1"/>
    </xf>
    <xf numFmtId="0" fontId="14" fillId="9" borderId="30" xfId="0" applyFont="1" applyFill="1" applyBorder="1" applyAlignment="1">
      <alignment vertical="top" wrapText="1"/>
    </xf>
    <xf numFmtId="0" fontId="14" fillId="9" borderId="24" xfId="0" applyFont="1" applyFill="1" applyBorder="1" applyAlignment="1">
      <alignment vertical="top" wrapText="1"/>
    </xf>
    <xf numFmtId="0" fontId="16" fillId="9" borderId="30" xfId="0" applyFont="1" applyFill="1" applyBorder="1" applyAlignment="1">
      <alignment vertical="top" wrapText="1"/>
    </xf>
    <xf numFmtId="0" fontId="16" fillId="9" borderId="25" xfId="0" applyFont="1" applyFill="1" applyBorder="1" applyAlignment="1">
      <alignment vertical="top" wrapText="1"/>
    </xf>
    <xf numFmtId="0" fontId="14" fillId="9" borderId="31" xfId="0" applyFont="1" applyFill="1" applyBorder="1" applyAlignment="1">
      <alignment vertical="top" wrapText="1"/>
    </xf>
    <xf numFmtId="0" fontId="14" fillId="9" borderId="27" xfId="0" applyFont="1" applyFill="1" applyBorder="1" applyAlignment="1">
      <alignment vertical="top" wrapText="1"/>
    </xf>
    <xf numFmtId="0" fontId="0" fillId="9" borderId="32" xfId="0" applyFill="1" applyBorder="1" applyAlignment="1" applyProtection="1">
      <alignment horizontal="center" vertical="top" wrapText="1"/>
      <protection locked="0"/>
    </xf>
    <xf numFmtId="0" fontId="15" fillId="9" borderId="31" xfId="0" applyFont="1" applyFill="1" applyBorder="1" applyAlignment="1">
      <alignment vertical="top" wrapText="1"/>
    </xf>
    <xf numFmtId="164" fontId="0" fillId="9" borderId="33" xfId="0" applyNumberFormat="1" applyFill="1" applyBorder="1" applyAlignment="1" applyProtection="1">
      <alignment horizontal="center" vertical="top" wrapText="1"/>
      <protection locked="0"/>
    </xf>
    <xf numFmtId="166" fontId="0" fillId="9" borderId="20" xfId="0" applyNumberFormat="1" applyFill="1" applyBorder="1" applyAlignment="1" applyProtection="1">
      <alignment horizontal="center" vertical="top" wrapText="1"/>
      <protection locked="0"/>
    </xf>
    <xf numFmtId="0" fontId="0" fillId="8" borderId="27" xfId="0" applyFill="1" applyBorder="1" applyAlignment="1" applyProtection="1">
      <alignment horizontal="center" vertical="top" wrapText="1"/>
      <protection locked="0"/>
    </xf>
    <xf numFmtId="0" fontId="13" fillId="10" borderId="26" xfId="0" applyFont="1" applyFill="1" applyBorder="1" applyAlignment="1">
      <alignment horizontal="center" vertical="top" wrapText="1"/>
    </xf>
    <xf numFmtId="0" fontId="13" fillId="10" borderId="12" xfId="0" applyFont="1" applyFill="1" applyBorder="1" applyAlignment="1">
      <alignment horizontal="center" vertical="top" wrapText="1"/>
    </xf>
    <xf numFmtId="0" fontId="13" fillId="10" borderId="9" xfId="0" applyFont="1" applyFill="1" applyBorder="1" applyAlignment="1">
      <alignment horizontal="center" vertical="top" wrapText="1"/>
    </xf>
    <xf numFmtId="0" fontId="0" fillId="9" borderId="27" xfId="0" applyFill="1" applyBorder="1" applyAlignment="1" applyProtection="1">
      <alignment vertical="top" wrapText="1"/>
      <protection locked="0"/>
    </xf>
    <xf numFmtId="0" fontId="13" fillId="0" borderId="0" xfId="0" applyFont="1" applyAlignment="1">
      <alignment vertical="center" wrapText="1"/>
    </xf>
    <xf numFmtId="0" fontId="13" fillId="0" borderId="0" xfId="0" applyFont="1" applyAlignment="1">
      <alignment wrapText="1"/>
    </xf>
    <xf numFmtId="0" fontId="17" fillId="9" borderId="12" xfId="0" applyFont="1" applyFill="1" applyBorder="1" applyAlignment="1" applyProtection="1">
      <alignment vertical="top" wrapText="1"/>
      <protection locked="0"/>
    </xf>
    <xf numFmtId="166" fontId="0" fillId="9" borderId="31" xfId="0" applyNumberFormat="1" applyFill="1" applyBorder="1" applyAlignment="1" applyProtection="1">
      <alignment horizontal="center" vertical="top" wrapText="1"/>
      <protection locked="0"/>
    </xf>
    <xf numFmtId="0" fontId="0" fillId="8" borderId="8" xfId="0" applyFill="1" applyBorder="1" applyAlignment="1" applyProtection="1">
      <alignment horizontal="center" vertical="top" wrapText="1"/>
      <protection locked="0"/>
    </xf>
    <xf numFmtId="0" fontId="0" fillId="9" borderId="34" xfId="0" applyFill="1" applyBorder="1" applyAlignment="1" applyProtection="1">
      <alignment horizontal="center" vertical="top" wrapText="1"/>
      <protection locked="0"/>
    </xf>
    <xf numFmtId="0" fontId="0" fillId="9" borderId="35" xfId="0" applyFill="1" applyBorder="1" applyAlignment="1" applyProtection="1">
      <alignment horizontal="center" vertical="top" wrapText="1"/>
      <protection locked="0"/>
    </xf>
    <xf numFmtId="0" fontId="0" fillId="9" borderId="35" xfId="0" applyFill="1" applyBorder="1" applyAlignment="1" applyProtection="1">
      <alignment vertical="top" wrapText="1"/>
      <protection locked="0"/>
    </xf>
    <xf numFmtId="0" fontId="0" fillId="9" borderId="36" xfId="0" applyFill="1" applyBorder="1" applyAlignment="1" applyProtection="1">
      <alignment vertical="top" wrapText="1"/>
      <protection locked="0"/>
    </xf>
    <xf numFmtId="0" fontId="0" fillId="3" borderId="12" xfId="0" applyFill="1" applyBorder="1" applyAlignment="1" applyProtection="1">
      <alignment horizontal="center" vertical="top" wrapText="1"/>
      <protection locked="0"/>
    </xf>
    <xf numFmtId="0" fontId="0" fillId="0" borderId="0" xfId="0" applyAlignment="1">
      <alignment horizontal="left" vertical="top" wrapText="1"/>
    </xf>
    <xf numFmtId="0" fontId="0" fillId="8" borderId="16" xfId="0" applyFill="1" applyBorder="1" applyAlignment="1">
      <alignment horizontal="left" vertical="top" wrapText="1"/>
    </xf>
    <xf numFmtId="0" fontId="0" fillId="8" borderId="12" xfId="0" applyFill="1" applyBorder="1" applyAlignment="1" applyProtection="1">
      <alignment horizontal="left" vertical="top" wrapText="1"/>
      <protection locked="0"/>
    </xf>
    <xf numFmtId="0" fontId="0" fillId="9" borderId="26" xfId="0" applyFill="1" applyBorder="1" applyAlignment="1" applyProtection="1">
      <alignment horizontal="left" vertical="top" wrapText="1"/>
      <protection locked="0"/>
    </xf>
    <xf numFmtId="0" fontId="0" fillId="9" borderId="12" xfId="0" applyFill="1" applyBorder="1" applyAlignment="1" applyProtection="1">
      <alignment horizontal="left" vertical="top" wrapText="1"/>
      <protection locked="0"/>
    </xf>
    <xf numFmtId="0" fontId="18" fillId="10" borderId="9" xfId="0" applyFont="1" applyFill="1" applyBorder="1" applyAlignment="1">
      <alignment horizontal="left" vertical="top" wrapText="1"/>
    </xf>
    <xf numFmtId="0" fontId="18" fillId="10" borderId="16" xfId="0" applyFont="1" applyFill="1" applyBorder="1" applyAlignment="1">
      <alignment horizontal="left" vertical="top" wrapText="1"/>
    </xf>
    <xf numFmtId="0" fontId="18" fillId="10" borderId="12" xfId="0" applyFont="1" applyFill="1" applyBorder="1" applyAlignment="1">
      <alignment horizontal="left" vertical="top" wrapText="1"/>
    </xf>
    <xf numFmtId="0" fontId="0" fillId="9" borderId="9" xfId="0" applyFill="1" applyBorder="1" applyAlignment="1" applyProtection="1">
      <alignment horizontal="left" vertical="top" wrapText="1"/>
      <protection locked="0"/>
    </xf>
    <xf numFmtId="164" fontId="0" fillId="9" borderId="9" xfId="0" applyNumberFormat="1" applyFill="1" applyBorder="1" applyAlignment="1" applyProtection="1">
      <alignment horizontal="left" vertical="top" wrapText="1"/>
      <protection locked="0"/>
    </xf>
    <xf numFmtId="165" fontId="0" fillId="3" borderId="16" xfId="0" applyNumberFormat="1" applyFill="1" applyBorder="1" applyAlignment="1">
      <alignment horizontal="left" vertical="top" wrapText="1"/>
    </xf>
    <xf numFmtId="166" fontId="0" fillId="9" borderId="16" xfId="0" applyNumberFormat="1" applyFill="1" applyBorder="1" applyAlignment="1" applyProtection="1">
      <alignment horizontal="left" vertical="top" wrapText="1"/>
      <protection locked="0"/>
    </xf>
    <xf numFmtId="166" fontId="0" fillId="9" borderId="8" xfId="0" applyNumberFormat="1" applyFill="1" applyBorder="1" applyAlignment="1" applyProtection="1">
      <alignment horizontal="left" vertical="top" wrapText="1"/>
      <protection locked="0"/>
    </xf>
    <xf numFmtId="166" fontId="0" fillId="9" borderId="12" xfId="0" applyNumberFormat="1" applyFill="1" applyBorder="1" applyAlignment="1" applyProtection="1">
      <alignment horizontal="left" vertical="top" wrapText="1"/>
      <protection locked="0"/>
    </xf>
    <xf numFmtId="164" fontId="0" fillId="9" borderId="20" xfId="0" applyNumberFormat="1" applyFill="1" applyBorder="1" applyAlignment="1" applyProtection="1">
      <alignment horizontal="left" vertical="top" wrapText="1"/>
      <protection locked="0"/>
    </xf>
    <xf numFmtId="166" fontId="0" fillId="9" borderId="31" xfId="0" applyNumberFormat="1" applyFill="1" applyBorder="1" applyAlignment="1" applyProtection="1">
      <alignment horizontal="left" vertical="top" wrapText="1"/>
      <protection locked="0"/>
    </xf>
    <xf numFmtId="164" fontId="0" fillId="9" borderId="26" xfId="0" applyNumberFormat="1" applyFill="1" applyBorder="1" applyAlignment="1" applyProtection="1">
      <alignment horizontal="left" vertical="top" wrapText="1"/>
      <protection locked="0"/>
    </xf>
    <xf numFmtId="166" fontId="0" fillId="9" borderId="27" xfId="0" applyNumberFormat="1" applyFill="1" applyBorder="1" applyAlignment="1" applyProtection="1">
      <alignment horizontal="left" vertical="top" wrapText="1"/>
      <protection locked="0"/>
    </xf>
    <xf numFmtId="0" fontId="0" fillId="9" borderId="17" xfId="0" applyFill="1" applyBorder="1" applyAlignment="1" applyProtection="1">
      <alignment horizontal="left" vertical="top" wrapText="1"/>
      <protection locked="0"/>
    </xf>
    <xf numFmtId="0" fontId="0" fillId="9" borderId="20" xfId="0" applyFill="1" applyBorder="1" applyAlignment="1" applyProtection="1">
      <alignment horizontal="left" vertical="top" wrapText="1"/>
      <protection locked="0"/>
    </xf>
    <xf numFmtId="0" fontId="2" fillId="9" borderId="17" xfId="1" applyFill="1" applyBorder="1" applyAlignment="1" applyProtection="1">
      <alignment horizontal="left" vertical="top" wrapText="1"/>
      <protection locked="0"/>
    </xf>
    <xf numFmtId="0" fontId="0" fillId="9" borderId="8" xfId="0" applyFill="1" applyBorder="1" applyAlignment="1" applyProtection="1">
      <alignment horizontal="left" vertical="top" wrapText="1"/>
      <protection locked="0"/>
    </xf>
    <xf numFmtId="0" fontId="0" fillId="9" borderId="8" xfId="0" applyFill="1" applyBorder="1" applyAlignment="1">
      <alignment horizontal="left" vertical="top" wrapText="1"/>
    </xf>
    <xf numFmtId="0" fontId="0" fillId="9" borderId="16" xfId="0" applyFill="1" applyBorder="1" applyAlignment="1">
      <alignment horizontal="left" vertical="top" wrapText="1"/>
    </xf>
    <xf numFmtId="0" fontId="0" fillId="2" borderId="0" xfId="0" applyFill="1" applyAlignment="1">
      <alignment vertical="center" wrapText="1"/>
    </xf>
    <xf numFmtId="0" fontId="0" fillId="2" borderId="0" xfId="0" applyFill="1" applyAlignment="1">
      <alignment wrapText="1"/>
    </xf>
    <xf numFmtId="0" fontId="0" fillId="0" borderId="0" xfId="0" applyAlignment="1">
      <alignment horizontal="center"/>
    </xf>
    <xf numFmtId="0" fontId="0" fillId="0" borderId="0" xfId="0" applyAlignment="1">
      <alignment horizontal="left" vertical="center" wrapText="1"/>
    </xf>
    <xf numFmtId="0" fontId="0" fillId="0" borderId="0" xfId="0" applyAlignment="1">
      <alignment horizontal="center" vertical="center"/>
    </xf>
    <xf numFmtId="0" fontId="0" fillId="2" borderId="6" xfId="0" applyFill="1" applyBorder="1" applyAlignment="1" applyProtection="1">
      <alignment horizontal="center" vertical="top" wrapText="1"/>
      <protection locked="0"/>
    </xf>
    <xf numFmtId="0" fontId="0" fillId="2" borderId="27" xfId="0" applyFill="1" applyBorder="1" applyAlignment="1" applyProtection="1">
      <alignment horizontal="center" vertical="top" wrapText="1"/>
      <protection locked="0"/>
    </xf>
    <xf numFmtId="0" fontId="2" fillId="9" borderId="17" xfId="1" applyFill="1" applyBorder="1" applyAlignment="1" applyProtection="1">
      <alignment vertical="top" wrapText="1"/>
      <protection locked="0"/>
    </xf>
    <xf numFmtId="165" fontId="0" fillId="3" borderId="15" xfId="0" applyNumberFormat="1" applyFill="1" applyBorder="1" applyAlignment="1">
      <alignment horizontal="center" vertical="top" wrapText="1"/>
    </xf>
    <xf numFmtId="166" fontId="19" fillId="9" borderId="12" xfId="0" applyNumberFormat="1" applyFont="1" applyFill="1" applyBorder="1" applyAlignment="1" applyProtection="1">
      <alignment horizontal="center" vertical="top" wrapText="1"/>
      <protection locked="0"/>
    </xf>
    <xf numFmtId="20" fontId="19" fillId="9" borderId="16" xfId="0" applyNumberFormat="1" applyFont="1" applyFill="1" applyBorder="1" applyAlignment="1" applyProtection="1">
      <alignment vertical="top" wrapText="1"/>
      <protection locked="0"/>
    </xf>
    <xf numFmtId="0" fontId="19" fillId="9" borderId="16" xfId="0" applyFont="1" applyFill="1" applyBorder="1" applyAlignment="1" applyProtection="1">
      <alignment vertical="top" wrapText="1"/>
      <protection locked="0"/>
    </xf>
    <xf numFmtId="0" fontId="0" fillId="2" borderId="9" xfId="0" applyFill="1" applyBorder="1" applyAlignment="1">
      <alignment horizontal="center" vertical="top" wrapText="1"/>
    </xf>
    <xf numFmtId="0" fontId="0" fillId="2" borderId="16" xfId="0" applyFill="1" applyBorder="1" applyAlignment="1">
      <alignment horizontal="center" vertical="top" wrapText="1"/>
    </xf>
    <xf numFmtId="0" fontId="0" fillId="2" borderId="12" xfId="0" applyFill="1" applyBorder="1" applyAlignment="1" applyProtection="1">
      <alignment horizontal="center" vertical="top" wrapText="1"/>
      <protection locked="0"/>
    </xf>
    <xf numFmtId="0" fontId="0" fillId="2" borderId="20" xfId="0" applyFill="1" applyBorder="1" applyAlignment="1" applyProtection="1">
      <alignment horizontal="center" vertical="top" wrapText="1"/>
      <protection locked="0"/>
    </xf>
    <xf numFmtId="0" fontId="0" fillId="2" borderId="9" xfId="0" applyFill="1" applyBorder="1" applyAlignment="1" applyProtection="1">
      <alignment vertical="top" wrapText="1"/>
      <protection locked="0"/>
    </xf>
    <xf numFmtId="0" fontId="0" fillId="2" borderId="16" xfId="0" applyFill="1" applyBorder="1" applyAlignment="1" applyProtection="1">
      <alignment horizontal="center" vertical="top" wrapText="1"/>
      <protection locked="0"/>
    </xf>
    <xf numFmtId="0" fontId="0" fillId="2" borderId="16" xfId="0" applyFill="1" applyBorder="1" applyAlignment="1" applyProtection="1">
      <alignment vertical="top" wrapText="1"/>
      <protection locked="0"/>
    </xf>
    <xf numFmtId="0" fontId="0" fillId="2" borderId="12" xfId="0" applyFill="1" applyBorder="1" applyAlignment="1" applyProtection="1">
      <alignment vertical="top" wrapText="1"/>
      <protection locked="0"/>
    </xf>
    <xf numFmtId="0" fontId="0" fillId="2" borderId="17" xfId="0" applyFill="1" applyBorder="1" applyAlignment="1" applyProtection="1">
      <alignment horizontal="center" vertical="top" wrapText="1"/>
      <protection locked="0"/>
    </xf>
    <xf numFmtId="0" fontId="0" fillId="2" borderId="8" xfId="0" applyFill="1" applyBorder="1" applyAlignment="1" applyProtection="1">
      <alignment horizontal="center" vertical="top" wrapText="1"/>
      <protection locked="0"/>
    </xf>
    <xf numFmtId="164" fontId="0" fillId="2" borderId="9" xfId="0" applyNumberFormat="1" applyFill="1" applyBorder="1" applyAlignment="1" applyProtection="1">
      <alignment horizontal="center" vertical="top" wrapText="1"/>
      <protection locked="0"/>
    </xf>
    <xf numFmtId="165" fontId="0" fillId="2" borderId="16" xfId="0" applyNumberFormat="1" applyFill="1" applyBorder="1" applyAlignment="1">
      <alignment horizontal="center" vertical="top" wrapText="1"/>
    </xf>
    <xf numFmtId="166" fontId="0" fillId="2" borderId="16" xfId="0" applyNumberFormat="1" applyFill="1" applyBorder="1" applyAlignment="1" applyProtection="1">
      <alignment horizontal="center" vertical="top" wrapText="1"/>
      <protection locked="0"/>
    </xf>
    <xf numFmtId="166" fontId="0" fillId="2" borderId="8" xfId="0" applyNumberFormat="1" applyFill="1" applyBorder="1" applyAlignment="1" applyProtection="1">
      <alignment horizontal="center" vertical="top" wrapText="1"/>
      <protection locked="0"/>
    </xf>
    <xf numFmtId="166" fontId="0" fillId="2" borderId="12" xfId="0" applyNumberFormat="1" applyFill="1" applyBorder="1" applyAlignment="1" applyProtection="1">
      <alignment horizontal="center" vertical="top" wrapText="1"/>
      <protection locked="0"/>
    </xf>
    <xf numFmtId="164" fontId="0" fillId="2" borderId="20" xfId="0" applyNumberFormat="1" applyFill="1" applyBorder="1" applyAlignment="1" applyProtection="1">
      <alignment horizontal="center" vertical="top" wrapText="1"/>
      <protection locked="0"/>
    </xf>
    <xf numFmtId="0" fontId="0" fillId="2" borderId="9" xfId="0" applyFill="1" applyBorder="1" applyAlignment="1" applyProtection="1">
      <alignment horizontal="center" vertical="top" wrapText="1"/>
      <protection locked="0"/>
    </xf>
    <xf numFmtId="0" fontId="0" fillId="2" borderId="16" xfId="0" applyFill="1" applyBorder="1" applyAlignment="1" applyProtection="1">
      <alignment horizontal="left" vertical="top" wrapText="1"/>
      <protection locked="0"/>
    </xf>
    <xf numFmtId="0" fontId="0" fillId="9" borderId="37" xfId="0" applyFill="1" applyBorder="1" applyAlignment="1" applyProtection="1">
      <alignment vertical="top" wrapText="1"/>
      <protection locked="0"/>
    </xf>
    <xf numFmtId="0" fontId="8" fillId="4" borderId="33" xfId="0" applyFont="1" applyFill="1" applyBorder="1" applyAlignment="1">
      <alignment horizontal="center" vertical="center" wrapText="1"/>
    </xf>
    <xf numFmtId="0" fontId="8" fillId="4" borderId="20" xfId="0" applyFont="1" applyFill="1" applyBorder="1" applyAlignment="1">
      <alignment horizontal="center" vertical="center" wrapText="1"/>
    </xf>
    <xf numFmtId="0" fontId="9" fillId="5" borderId="38" xfId="0" applyFont="1" applyFill="1" applyBorder="1" applyAlignment="1">
      <alignment horizontal="center" vertical="center" wrapText="1"/>
    </xf>
    <xf numFmtId="0" fontId="20" fillId="9" borderId="20" xfId="0" applyFont="1" applyFill="1" applyBorder="1" applyAlignment="1" applyProtection="1">
      <alignment horizontal="center" vertical="top" wrapText="1"/>
      <protection locked="0"/>
    </xf>
    <xf numFmtId="0" fontId="0" fillId="9" borderId="33" xfId="0" applyFill="1" applyBorder="1" applyAlignment="1" applyProtection="1">
      <alignment horizontal="center" vertical="top" wrapText="1"/>
      <protection locked="0"/>
    </xf>
    <xf numFmtId="0" fontId="0" fillId="9" borderId="39" xfId="0" applyFill="1" applyBorder="1" applyAlignment="1" applyProtection="1">
      <alignment horizontal="center" vertical="top" wrapText="1"/>
      <protection locked="0"/>
    </xf>
    <xf numFmtId="0" fontId="0" fillId="3" borderId="12" xfId="0" applyFill="1" applyBorder="1" applyAlignment="1">
      <alignment horizontal="center" vertical="top" wrapText="1"/>
    </xf>
    <xf numFmtId="0" fontId="0" fillId="2" borderId="20" xfId="0" applyFill="1" applyBorder="1" applyAlignment="1" applyProtection="1">
      <alignment vertical="top" wrapText="1"/>
      <protection locked="0"/>
    </xf>
    <xf numFmtId="0" fontId="0" fillId="2" borderId="17" xfId="0" applyFill="1" applyBorder="1" applyAlignment="1" applyProtection="1">
      <alignment vertical="top" wrapText="1"/>
      <protection locked="0"/>
    </xf>
    <xf numFmtId="0" fontId="0" fillId="8" borderId="15" xfId="0" applyFill="1" applyBorder="1" applyAlignment="1">
      <alignment horizontal="center" vertical="top" wrapText="1"/>
    </xf>
    <xf numFmtId="0" fontId="0" fillId="8" borderId="23" xfId="0" applyFill="1" applyBorder="1" applyAlignment="1" applyProtection="1">
      <alignment horizontal="center" vertical="top" wrapText="1"/>
      <protection locked="0"/>
    </xf>
    <xf numFmtId="0" fontId="20" fillId="9" borderId="8" xfId="0" applyFont="1" applyFill="1" applyBorder="1" applyAlignment="1" applyProtection="1">
      <alignment vertical="top" wrapText="1"/>
      <protection locked="0"/>
    </xf>
    <xf numFmtId="0" fontId="0" fillId="3" borderId="23" xfId="0" applyFill="1" applyBorder="1" applyAlignment="1">
      <alignment horizontal="center" vertical="top" wrapText="1"/>
    </xf>
    <xf numFmtId="0" fontId="0" fillId="9" borderId="15" xfId="0" applyFill="1" applyBorder="1" applyAlignment="1" applyProtection="1">
      <alignment horizontal="center" vertical="top" wrapText="1"/>
      <protection locked="0"/>
    </xf>
    <xf numFmtId="0" fontId="0" fillId="3" borderId="14" xfId="0" applyFill="1" applyBorder="1" applyAlignment="1">
      <alignment horizontal="center" vertical="top" wrapText="1"/>
    </xf>
    <xf numFmtId="164" fontId="0" fillId="9" borderId="21" xfId="0" applyNumberFormat="1" applyFill="1" applyBorder="1" applyAlignment="1" applyProtection="1">
      <alignment horizontal="center" vertical="top" wrapText="1"/>
      <protection locked="0"/>
    </xf>
    <xf numFmtId="166" fontId="0" fillId="9" borderId="15" xfId="0" applyNumberFormat="1" applyFill="1" applyBorder="1" applyAlignment="1" applyProtection="1">
      <alignment horizontal="center" vertical="top" wrapText="1"/>
      <protection locked="0"/>
    </xf>
    <xf numFmtId="166" fontId="0" fillId="9" borderId="14" xfId="0" applyNumberFormat="1" applyFill="1" applyBorder="1" applyAlignment="1" applyProtection="1">
      <alignment horizontal="center" vertical="top" wrapText="1"/>
      <protection locked="0"/>
    </xf>
    <xf numFmtId="166" fontId="0" fillId="2" borderId="23" xfId="0" applyNumberFormat="1" applyFill="1" applyBorder="1" applyAlignment="1" applyProtection="1">
      <alignment horizontal="center" vertical="top" wrapText="1"/>
      <protection locked="0"/>
    </xf>
    <xf numFmtId="166" fontId="0" fillId="9" borderId="23" xfId="0" applyNumberFormat="1" applyFill="1" applyBorder="1" applyAlignment="1" applyProtection="1">
      <alignment horizontal="center" vertical="top" wrapText="1"/>
      <protection locked="0"/>
    </xf>
    <xf numFmtId="0" fontId="0" fillId="9" borderId="21" xfId="0" applyFill="1" applyBorder="1" applyAlignment="1" applyProtection="1">
      <alignment horizontal="center" vertical="top" wrapText="1"/>
      <protection locked="0"/>
    </xf>
    <xf numFmtId="0" fontId="0" fillId="9" borderId="15" xfId="0" applyFill="1" applyBorder="1" applyAlignment="1" applyProtection="1">
      <alignment horizontal="left" vertical="top" wrapText="1"/>
      <protection locked="0"/>
    </xf>
    <xf numFmtId="0" fontId="0" fillId="9" borderId="15" xfId="0" applyFill="1" applyBorder="1" applyAlignment="1" applyProtection="1">
      <alignment vertical="top" wrapText="1"/>
      <protection locked="0"/>
    </xf>
    <xf numFmtId="0" fontId="0" fillId="9" borderId="23" xfId="0" applyFill="1" applyBorder="1" applyAlignment="1" applyProtection="1">
      <alignment vertical="top" wrapText="1"/>
      <protection locked="0"/>
    </xf>
    <xf numFmtId="0" fontId="0" fillId="9" borderId="13" xfId="0" applyFill="1" applyBorder="1" applyAlignment="1" applyProtection="1">
      <alignment vertical="top" wrapText="1"/>
      <protection locked="0"/>
    </xf>
    <xf numFmtId="0" fontId="0" fillId="9" borderId="6" xfId="0" applyFill="1" applyBorder="1" applyAlignment="1" applyProtection="1">
      <alignment vertical="top" wrapText="1"/>
      <protection locked="0"/>
    </xf>
    <xf numFmtId="0" fontId="0" fillId="9" borderId="21" xfId="0" applyFill="1" applyBorder="1" applyAlignment="1" applyProtection="1">
      <alignment vertical="top" wrapText="1"/>
      <protection locked="0"/>
    </xf>
    <xf numFmtId="0" fontId="0" fillId="9" borderId="13" xfId="0" applyFill="1" applyBorder="1" applyAlignment="1" applyProtection="1">
      <alignment horizontal="center" vertical="top" wrapText="1"/>
      <protection locked="0"/>
    </xf>
    <xf numFmtId="0" fontId="0" fillId="8" borderId="15" xfId="0" applyFill="1" applyBorder="1" applyAlignment="1">
      <alignment vertical="top" wrapText="1"/>
    </xf>
    <xf numFmtId="0" fontId="0" fillId="8" borderId="15" xfId="0" applyFill="1" applyBorder="1" applyAlignment="1" applyProtection="1">
      <alignment horizontal="center" vertical="top" wrapText="1"/>
      <protection locked="0"/>
    </xf>
    <xf numFmtId="0" fontId="0" fillId="9" borderId="41" xfId="0" applyFill="1" applyBorder="1" applyAlignment="1" applyProtection="1">
      <alignment horizontal="center" vertical="top" wrapText="1"/>
      <protection locked="0"/>
    </xf>
    <xf numFmtId="0" fontId="20" fillId="9" borderId="26" xfId="0" applyFont="1" applyFill="1" applyBorder="1" applyAlignment="1" applyProtection="1">
      <alignment horizontal="center" vertical="top" wrapText="1"/>
      <protection locked="0"/>
    </xf>
    <xf numFmtId="0" fontId="0" fillId="2" borderId="33" xfId="0" applyFill="1" applyBorder="1" applyAlignment="1" applyProtection="1">
      <alignment horizontal="center" vertical="top" wrapText="1"/>
      <protection locked="0"/>
    </xf>
    <xf numFmtId="0" fontId="0" fillId="2" borderId="39" xfId="0" applyFill="1" applyBorder="1" applyAlignment="1" applyProtection="1">
      <alignment horizontal="center" vertical="top" wrapText="1"/>
      <protection locked="0"/>
    </xf>
    <xf numFmtId="0" fontId="0" fillId="9" borderId="43" xfId="0" applyFill="1" applyBorder="1" applyAlignment="1" applyProtection="1">
      <alignment horizontal="center" vertical="top" wrapText="1"/>
      <protection locked="0"/>
    </xf>
    <xf numFmtId="0" fontId="19" fillId="0" borderId="12" xfId="0" applyFont="1" applyBorder="1" applyAlignment="1">
      <alignment horizontal="center" vertical="center" wrapText="1"/>
    </xf>
    <xf numFmtId="0" fontId="0" fillId="9" borderId="33" xfId="0" applyFill="1" applyBorder="1" applyAlignment="1" applyProtection="1">
      <alignment vertical="top" wrapText="1"/>
      <protection locked="0"/>
    </xf>
    <xf numFmtId="0" fontId="21" fillId="2" borderId="9" xfId="0" applyFont="1" applyFill="1" applyBorder="1" applyAlignment="1">
      <alignment horizontal="center" vertical="top" wrapText="1"/>
    </xf>
    <xf numFmtId="0" fontId="21" fillId="2" borderId="16" xfId="0" applyFont="1" applyFill="1" applyBorder="1" applyAlignment="1">
      <alignment horizontal="center" vertical="top" wrapText="1"/>
    </xf>
    <xf numFmtId="0" fontId="21" fillId="2" borderId="12" xfId="0" applyFont="1" applyFill="1" applyBorder="1" applyAlignment="1" applyProtection="1">
      <alignment horizontal="center" vertical="top" wrapText="1"/>
      <protection locked="0"/>
    </xf>
    <xf numFmtId="0" fontId="22" fillId="2" borderId="20" xfId="0" applyFont="1" applyFill="1" applyBorder="1" applyAlignment="1" applyProtection="1">
      <alignment horizontal="center" vertical="top" wrapText="1"/>
      <protection locked="0"/>
    </xf>
    <xf numFmtId="0" fontId="22" fillId="2" borderId="12" xfId="0" applyFont="1" applyFill="1" applyBorder="1" applyAlignment="1" applyProtection="1">
      <alignment horizontal="center" vertical="top" wrapText="1"/>
      <protection locked="0"/>
    </xf>
    <xf numFmtId="0" fontId="21" fillId="2" borderId="12" xfId="0" applyFont="1" applyFill="1" applyBorder="1" applyAlignment="1" applyProtection="1">
      <alignment vertical="top" wrapText="1"/>
      <protection locked="0"/>
    </xf>
    <xf numFmtId="0" fontId="21" fillId="2" borderId="33" xfId="0" applyFont="1" applyFill="1" applyBorder="1" applyAlignment="1" applyProtection="1">
      <alignment vertical="top" wrapText="1"/>
      <protection locked="0"/>
    </xf>
    <xf numFmtId="0" fontId="21" fillId="2" borderId="9" xfId="0" applyFont="1" applyFill="1" applyBorder="1" applyAlignment="1" applyProtection="1">
      <alignment vertical="top" wrapText="1"/>
      <protection locked="0"/>
    </xf>
    <xf numFmtId="0" fontId="21" fillId="2" borderId="20" xfId="0" applyFont="1" applyFill="1" applyBorder="1" applyAlignment="1" applyProtection="1">
      <alignment vertical="top" wrapText="1"/>
      <protection locked="0"/>
    </xf>
    <xf numFmtId="0" fontId="21" fillId="2" borderId="33" xfId="0" applyFont="1" applyFill="1" applyBorder="1" applyAlignment="1" applyProtection="1">
      <alignment horizontal="center" vertical="top" wrapText="1"/>
      <protection locked="0"/>
    </xf>
    <xf numFmtId="0" fontId="21" fillId="2" borderId="39" xfId="0" applyFont="1" applyFill="1" applyBorder="1" applyAlignment="1" applyProtection="1">
      <alignment horizontal="center" vertical="top" wrapText="1"/>
      <protection locked="0"/>
    </xf>
    <xf numFmtId="0" fontId="21" fillId="2" borderId="20" xfId="0" applyFont="1" applyFill="1" applyBorder="1" applyAlignment="1" applyProtection="1">
      <alignment horizontal="center" vertical="top" wrapText="1"/>
      <protection locked="0"/>
    </xf>
    <xf numFmtId="0" fontId="21" fillId="2" borderId="16" xfId="0" applyFont="1" applyFill="1" applyBorder="1" applyAlignment="1" applyProtection="1">
      <alignment horizontal="center" vertical="top" wrapText="1"/>
      <protection locked="0"/>
    </xf>
    <xf numFmtId="0" fontId="21" fillId="2" borderId="26" xfId="0" applyFont="1" applyFill="1" applyBorder="1" applyAlignment="1" applyProtection="1">
      <alignment horizontal="center" vertical="top" wrapText="1"/>
      <protection locked="0"/>
    </xf>
    <xf numFmtId="0" fontId="21" fillId="2" borderId="8" xfId="0" applyFont="1" applyFill="1" applyBorder="1" applyAlignment="1">
      <alignment horizontal="center" vertical="top" wrapText="1"/>
    </xf>
    <xf numFmtId="164" fontId="21" fillId="2" borderId="9" xfId="0" applyNumberFormat="1" applyFont="1" applyFill="1" applyBorder="1" applyAlignment="1" applyProtection="1">
      <alignment horizontal="center" vertical="top" wrapText="1"/>
      <protection locked="0"/>
    </xf>
    <xf numFmtId="165" fontId="21" fillId="2" borderId="16" xfId="0" applyNumberFormat="1" applyFont="1" applyFill="1" applyBorder="1" applyAlignment="1">
      <alignment horizontal="center" vertical="top" wrapText="1"/>
    </xf>
    <xf numFmtId="166" fontId="21" fillId="2" borderId="16" xfId="0" applyNumberFormat="1" applyFont="1" applyFill="1" applyBorder="1" applyAlignment="1" applyProtection="1">
      <alignment horizontal="center" vertical="top" wrapText="1"/>
      <protection locked="0"/>
    </xf>
    <xf numFmtId="166" fontId="21" fillId="2" borderId="8" xfId="0" applyNumberFormat="1" applyFont="1" applyFill="1" applyBorder="1" applyAlignment="1" applyProtection="1">
      <alignment horizontal="center" vertical="top" wrapText="1"/>
      <protection locked="0"/>
    </xf>
    <xf numFmtId="166" fontId="21" fillId="2" borderId="12" xfId="0" applyNumberFormat="1" applyFont="1" applyFill="1" applyBorder="1" applyAlignment="1" applyProtection="1">
      <alignment horizontal="center" vertical="top" wrapText="1"/>
      <protection locked="0"/>
    </xf>
    <xf numFmtId="164" fontId="21" fillId="2" borderId="20" xfId="0" applyNumberFormat="1" applyFont="1" applyFill="1" applyBorder="1" applyAlignment="1" applyProtection="1">
      <alignment horizontal="center" vertical="top" wrapText="1"/>
      <protection locked="0"/>
    </xf>
    <xf numFmtId="166" fontId="21" fillId="2" borderId="31" xfId="0" applyNumberFormat="1" applyFont="1" applyFill="1" applyBorder="1" applyAlignment="1" applyProtection="1">
      <alignment horizontal="center" vertical="top" wrapText="1"/>
      <protection locked="0"/>
    </xf>
    <xf numFmtId="164" fontId="21" fillId="2" borderId="26" xfId="0" applyNumberFormat="1" applyFont="1" applyFill="1" applyBorder="1" applyAlignment="1" applyProtection="1">
      <alignment horizontal="center" vertical="top" wrapText="1"/>
      <protection locked="0"/>
    </xf>
    <xf numFmtId="166" fontId="21" fillId="2" borderId="27" xfId="0" applyNumberFormat="1" applyFont="1" applyFill="1" applyBorder="1" applyAlignment="1" applyProtection="1">
      <alignment horizontal="center" vertical="top" wrapText="1"/>
      <protection locked="0"/>
    </xf>
    <xf numFmtId="0" fontId="21" fillId="2" borderId="9" xfId="0" applyFont="1" applyFill="1" applyBorder="1" applyAlignment="1" applyProtection="1">
      <alignment horizontal="center" vertical="top" wrapText="1"/>
      <protection locked="0"/>
    </xf>
    <xf numFmtId="0" fontId="21" fillId="2" borderId="16" xfId="0" applyFont="1" applyFill="1" applyBorder="1" applyAlignment="1" applyProtection="1">
      <alignment vertical="top" wrapText="1"/>
      <protection locked="0"/>
    </xf>
    <xf numFmtId="0" fontId="21" fillId="2" borderId="37" xfId="0" applyFont="1" applyFill="1" applyBorder="1" applyAlignment="1" applyProtection="1">
      <alignment vertical="top" wrapText="1"/>
      <protection locked="0"/>
    </xf>
    <xf numFmtId="0" fontId="21" fillId="2" borderId="8" xfId="0" applyFont="1" applyFill="1" applyBorder="1" applyAlignment="1" applyProtection="1">
      <alignment horizontal="center" vertical="top" wrapText="1"/>
      <protection locked="0"/>
    </xf>
    <xf numFmtId="0" fontId="21" fillId="2" borderId="16" xfId="0" applyFont="1" applyFill="1" applyBorder="1" applyAlignment="1">
      <alignment vertical="top" wrapText="1"/>
    </xf>
    <xf numFmtId="0" fontId="21" fillId="2" borderId="8" xfId="0" applyFont="1" applyFill="1" applyBorder="1" applyAlignment="1">
      <alignment vertical="top" wrapText="1"/>
    </xf>
    <xf numFmtId="0" fontId="0" fillId="9" borderId="14" xfId="0" applyFill="1" applyBorder="1" applyAlignment="1" applyProtection="1">
      <alignment vertical="top" wrapText="1"/>
      <protection locked="0"/>
    </xf>
    <xf numFmtId="0" fontId="23" fillId="2" borderId="12" xfId="0" applyFont="1" applyFill="1" applyBorder="1" applyAlignment="1">
      <alignment horizontal="center" vertical="center" wrapText="1"/>
    </xf>
    <xf numFmtId="0" fontId="23" fillId="2" borderId="16" xfId="0" applyFont="1" applyFill="1" applyBorder="1" applyAlignment="1">
      <alignment horizontal="center" vertical="top" wrapText="1"/>
    </xf>
    <xf numFmtId="0" fontId="23" fillId="2" borderId="12" xfId="0" applyFont="1" applyFill="1" applyBorder="1" applyAlignment="1" applyProtection="1">
      <alignment horizontal="center" vertical="top" wrapText="1"/>
      <protection locked="0"/>
    </xf>
    <xf numFmtId="0" fontId="24" fillId="2" borderId="12" xfId="0" applyFont="1" applyFill="1" applyBorder="1" applyAlignment="1" applyProtection="1">
      <alignment horizontal="center" vertical="top" wrapText="1"/>
      <protection locked="0"/>
    </xf>
    <xf numFmtId="0" fontId="24" fillId="2" borderId="9" xfId="0" applyFont="1" applyFill="1" applyBorder="1" applyAlignment="1" applyProtection="1">
      <alignment horizontal="left" vertical="top" wrapText="1"/>
      <protection locked="0"/>
    </xf>
    <xf numFmtId="0" fontId="23" fillId="2" borderId="9" xfId="0" applyFont="1" applyFill="1" applyBorder="1" applyAlignment="1" applyProtection="1">
      <alignment vertical="top" wrapText="1"/>
      <protection locked="0"/>
    </xf>
    <xf numFmtId="0" fontId="23" fillId="2" borderId="12" xfId="0" applyFont="1" applyFill="1" applyBorder="1" applyAlignment="1">
      <alignment horizontal="center" vertical="top" wrapText="1"/>
    </xf>
    <xf numFmtId="0" fontId="23" fillId="2" borderId="16" xfId="0" applyFont="1" applyFill="1" applyBorder="1" applyAlignment="1" applyProtection="1">
      <alignment horizontal="center" vertical="top" wrapText="1"/>
      <protection locked="0"/>
    </xf>
    <xf numFmtId="0" fontId="23" fillId="2" borderId="8" xfId="0" applyFont="1" applyFill="1" applyBorder="1" applyAlignment="1">
      <alignment horizontal="center" vertical="top" wrapText="1"/>
    </xf>
    <xf numFmtId="164" fontId="23" fillId="2" borderId="9" xfId="0" applyNumberFormat="1" applyFont="1" applyFill="1" applyBorder="1" applyAlignment="1" applyProtection="1">
      <alignment horizontal="center" vertical="top" wrapText="1"/>
      <protection locked="0"/>
    </xf>
    <xf numFmtId="165" fontId="23" fillId="2" borderId="16" xfId="0" applyNumberFormat="1" applyFont="1" applyFill="1" applyBorder="1" applyAlignment="1">
      <alignment horizontal="center" vertical="top" wrapText="1"/>
    </xf>
    <xf numFmtId="166" fontId="23" fillId="2" borderId="16" xfId="0" applyNumberFormat="1" applyFont="1" applyFill="1" applyBorder="1" applyAlignment="1" applyProtection="1">
      <alignment horizontal="center" vertical="top" wrapText="1"/>
      <protection locked="0"/>
    </xf>
    <xf numFmtId="166" fontId="23" fillId="2" borderId="8" xfId="0" applyNumberFormat="1" applyFont="1" applyFill="1" applyBorder="1" applyAlignment="1" applyProtection="1">
      <alignment horizontal="center" vertical="top" wrapText="1"/>
      <protection locked="0"/>
    </xf>
    <xf numFmtId="166" fontId="23" fillId="2" borderId="12" xfId="0" applyNumberFormat="1" applyFont="1" applyFill="1" applyBorder="1" applyAlignment="1" applyProtection="1">
      <alignment horizontal="center" vertical="top" wrapText="1"/>
      <protection locked="0"/>
    </xf>
    <xf numFmtId="164" fontId="23" fillId="2" borderId="20" xfId="0" applyNumberFormat="1" applyFont="1" applyFill="1" applyBorder="1" applyAlignment="1" applyProtection="1">
      <alignment horizontal="center" vertical="top" wrapText="1"/>
      <protection locked="0"/>
    </xf>
    <xf numFmtId="0" fontId="23" fillId="2" borderId="9" xfId="0" applyFont="1" applyFill="1" applyBorder="1" applyAlignment="1" applyProtection="1">
      <alignment horizontal="center" vertical="top" wrapText="1"/>
      <protection locked="0"/>
    </xf>
    <xf numFmtId="0" fontId="23" fillId="2" borderId="16" xfId="0" applyFont="1" applyFill="1" applyBorder="1" applyAlignment="1" applyProtection="1">
      <alignment horizontal="left" vertical="top" wrapText="1"/>
      <protection locked="0"/>
    </xf>
    <xf numFmtId="0" fontId="23" fillId="2" borderId="16" xfId="0" applyFont="1" applyFill="1" applyBorder="1" applyAlignment="1" applyProtection="1">
      <alignment vertical="top" wrapText="1"/>
      <protection locked="0"/>
    </xf>
    <xf numFmtId="0" fontId="23" fillId="2" borderId="12" xfId="0" applyFont="1" applyFill="1" applyBorder="1" applyAlignment="1" applyProtection="1">
      <alignment vertical="top" wrapText="1"/>
      <protection locked="0"/>
    </xf>
    <xf numFmtId="0" fontId="23" fillId="2" borderId="20" xfId="0" applyFont="1" applyFill="1" applyBorder="1" applyAlignment="1" applyProtection="1">
      <alignment vertical="top" wrapText="1"/>
      <protection locked="0"/>
    </xf>
    <xf numFmtId="0" fontId="23" fillId="2" borderId="16" xfId="0" applyFont="1" applyFill="1" applyBorder="1" applyAlignment="1">
      <alignment vertical="top" wrapText="1"/>
    </xf>
    <xf numFmtId="0" fontId="23" fillId="8" borderId="16" xfId="0" applyFont="1" applyFill="1" applyBorder="1" applyAlignment="1" applyProtection="1">
      <alignment horizontal="center" vertical="top" wrapText="1"/>
      <protection locked="0"/>
    </xf>
    <xf numFmtId="0" fontId="23" fillId="0" borderId="0" xfId="0" applyFont="1" applyAlignment="1">
      <alignment vertical="center" wrapText="1"/>
    </xf>
    <xf numFmtId="0" fontId="23" fillId="0" borderId="0" xfId="0" applyFont="1" applyAlignment="1">
      <alignment wrapText="1"/>
    </xf>
    <xf numFmtId="0" fontId="0" fillId="9" borderId="33" xfId="0" applyFill="1" applyBorder="1" applyAlignment="1" applyProtection="1">
      <alignment vertical="center" wrapText="1"/>
      <protection locked="0"/>
    </xf>
    <xf numFmtId="0" fontId="0" fillId="4" borderId="33" xfId="0" applyFill="1" applyBorder="1" applyAlignment="1" applyProtection="1">
      <alignment horizontal="center" vertical="top" wrapText="1"/>
      <protection locked="0"/>
    </xf>
    <xf numFmtId="0" fontId="0" fillId="4" borderId="39" xfId="0" applyFill="1" applyBorder="1" applyAlignment="1" applyProtection="1">
      <alignment horizontal="center" vertical="top" wrapText="1"/>
      <protection locked="0"/>
    </xf>
    <xf numFmtId="15" fontId="0" fillId="9" borderId="9" xfId="0" applyNumberFormat="1" applyFill="1" applyBorder="1" applyAlignment="1" applyProtection="1">
      <alignment horizontal="center" vertical="top" wrapText="1"/>
      <protection locked="0"/>
    </xf>
    <xf numFmtId="15" fontId="0" fillId="2" borderId="9" xfId="0" applyNumberFormat="1" applyFill="1" applyBorder="1" applyAlignment="1" applyProtection="1">
      <alignment horizontal="center" vertical="top" wrapText="1"/>
      <protection locked="0"/>
    </xf>
    <xf numFmtId="0" fontId="0" fillId="9" borderId="12" xfId="0" quotePrefix="1" applyFill="1" applyBorder="1" applyAlignment="1" applyProtection="1">
      <alignment vertical="top" wrapText="1"/>
      <protection locked="0"/>
    </xf>
    <xf numFmtId="0" fontId="21" fillId="2" borderId="12" xfId="0" applyFont="1" applyFill="1" applyBorder="1" applyAlignment="1">
      <alignment horizontal="center" vertical="center" wrapText="1"/>
    </xf>
    <xf numFmtId="0" fontId="21" fillId="2" borderId="8" xfId="0" applyFont="1" applyFill="1" applyBorder="1" applyAlignment="1" applyProtection="1">
      <alignment vertical="top" wrapText="1"/>
      <protection locked="0"/>
    </xf>
    <xf numFmtId="0" fontId="21" fillId="2" borderId="12" xfId="0" applyFont="1" applyFill="1" applyBorder="1" applyAlignment="1">
      <alignment horizontal="center" vertical="top" wrapText="1"/>
    </xf>
    <xf numFmtId="0" fontId="21" fillId="2" borderId="16" xfId="0" applyFont="1" applyFill="1" applyBorder="1" applyAlignment="1" applyProtection="1">
      <alignment horizontal="left" vertical="top" wrapText="1"/>
      <protection locked="0"/>
    </xf>
    <xf numFmtId="0" fontId="13" fillId="9" borderId="8" xfId="0" applyFont="1" applyFill="1" applyBorder="1" applyAlignment="1" applyProtection="1">
      <alignment vertical="top" wrapText="1"/>
      <protection locked="0"/>
    </xf>
    <xf numFmtId="0" fontId="2" fillId="9" borderId="12" xfId="1" applyFill="1" applyBorder="1" applyAlignment="1" applyProtection="1">
      <alignment vertical="top" wrapText="1"/>
      <protection locked="0"/>
    </xf>
    <xf numFmtId="0" fontId="23" fillId="2" borderId="9" xfId="0" applyFont="1" applyFill="1" applyBorder="1" applyAlignment="1">
      <alignment horizontal="center" vertical="top" wrapText="1"/>
    </xf>
    <xf numFmtId="0" fontId="24" fillId="2" borderId="20" xfId="0" applyFont="1" applyFill="1" applyBorder="1" applyAlignment="1" applyProtection="1">
      <alignment horizontal="center" vertical="top" wrapText="1"/>
      <protection locked="0"/>
    </xf>
    <xf numFmtId="0" fontId="20" fillId="9" borderId="42" xfId="0" applyFont="1" applyFill="1" applyBorder="1" applyAlignment="1" applyProtection="1">
      <alignment horizontal="center" vertical="top" wrapText="1"/>
      <protection locked="0"/>
    </xf>
    <xf numFmtId="0" fontId="0" fillId="9" borderId="42" xfId="0" applyFill="1" applyBorder="1" applyAlignment="1" applyProtection="1">
      <alignment horizontal="center" vertical="top" wrapText="1"/>
      <protection locked="0"/>
    </xf>
    <xf numFmtId="0" fontId="24" fillId="2" borderId="42" xfId="0" applyFont="1" applyFill="1" applyBorder="1" applyAlignment="1" applyProtection="1">
      <alignment horizontal="center" vertical="top" wrapText="1"/>
      <protection locked="0"/>
    </xf>
    <xf numFmtId="0" fontId="13" fillId="9" borderId="42" xfId="0" applyFont="1" applyFill="1" applyBorder="1" applyAlignment="1" applyProtection="1">
      <alignment horizontal="center" vertical="top" wrapText="1"/>
      <protection locked="0"/>
    </xf>
    <xf numFmtId="0" fontId="0" fillId="9" borderId="28" xfId="0" applyFill="1" applyBorder="1" applyAlignment="1" applyProtection="1">
      <alignment vertical="top" wrapText="1"/>
      <protection locked="0"/>
    </xf>
    <xf numFmtId="0" fontId="24" fillId="2" borderId="28" xfId="0" applyFont="1" applyFill="1" applyBorder="1" applyAlignment="1" applyProtection="1">
      <alignment vertical="top" wrapText="1"/>
      <protection locked="0"/>
    </xf>
    <xf numFmtId="0" fontId="20" fillId="9" borderId="28" xfId="0" applyFont="1" applyFill="1" applyBorder="1" applyAlignment="1" applyProtection="1">
      <alignment vertical="top" wrapText="1"/>
      <protection locked="0"/>
    </xf>
    <xf numFmtId="0" fontId="13" fillId="9" borderId="28" xfId="0" applyFont="1" applyFill="1" applyBorder="1" applyAlignment="1" applyProtection="1">
      <alignment vertical="top" wrapText="1"/>
      <protection locked="0"/>
    </xf>
    <xf numFmtId="0" fontId="0" fillId="9" borderId="40" xfId="0" applyFill="1" applyBorder="1" applyAlignment="1" applyProtection="1">
      <alignment vertical="center" wrapText="1"/>
      <protection locked="0"/>
    </xf>
    <xf numFmtId="0" fontId="24" fillId="2" borderId="33" xfId="0" applyFont="1" applyFill="1" applyBorder="1" applyAlignment="1" applyProtection="1">
      <alignment vertical="top" wrapText="1"/>
      <protection locked="0"/>
    </xf>
    <xf numFmtId="0" fontId="24" fillId="2" borderId="20" xfId="0" applyFont="1" applyFill="1" applyBorder="1" applyAlignment="1" applyProtection="1">
      <alignment vertical="top" wrapText="1"/>
      <protection locked="0"/>
    </xf>
    <xf numFmtId="0" fontId="24" fillId="2" borderId="8" xfId="0" applyFont="1" applyFill="1" applyBorder="1" applyAlignment="1" applyProtection="1">
      <alignment vertical="top" wrapText="1"/>
      <protection locked="0"/>
    </xf>
    <xf numFmtId="0" fontId="23" fillId="2" borderId="33" xfId="0" applyFont="1" applyFill="1" applyBorder="1" applyAlignment="1" applyProtection="1">
      <alignment horizontal="center" vertical="top" wrapText="1"/>
      <protection locked="0"/>
    </xf>
    <xf numFmtId="0" fontId="23" fillId="2" borderId="39" xfId="0" applyFont="1" applyFill="1" applyBorder="1" applyAlignment="1" applyProtection="1">
      <alignment horizontal="center" vertical="top" wrapText="1"/>
      <protection locked="0"/>
    </xf>
    <xf numFmtId="0" fontId="23" fillId="2" borderId="20" xfId="0" applyFont="1" applyFill="1" applyBorder="1" applyAlignment="1" applyProtection="1">
      <alignment horizontal="center" vertical="top" wrapText="1"/>
      <protection locked="0"/>
    </xf>
    <xf numFmtId="164" fontId="0" fillId="2" borderId="21" xfId="0" applyNumberFormat="1" applyFill="1" applyBorder="1" applyAlignment="1" applyProtection="1">
      <alignment horizontal="center" vertical="top" wrapText="1"/>
      <protection locked="0"/>
    </xf>
    <xf numFmtId="15" fontId="18" fillId="11" borderId="9" xfId="0" applyNumberFormat="1" applyFont="1" applyFill="1" applyBorder="1" applyAlignment="1">
      <alignment wrapText="1"/>
    </xf>
    <xf numFmtId="164" fontId="0" fillId="9" borderId="34" xfId="0" applyNumberFormat="1" applyFill="1" applyBorder="1" applyAlignment="1" applyProtection="1">
      <alignment horizontal="center" vertical="top" wrapText="1"/>
      <protection locked="0"/>
    </xf>
    <xf numFmtId="0" fontId="18" fillId="12" borderId="16" xfId="0" applyFont="1" applyFill="1" applyBorder="1" applyAlignment="1">
      <alignment wrapText="1"/>
    </xf>
    <xf numFmtId="165" fontId="0" fillId="3" borderId="35" xfId="0" applyNumberFormat="1" applyFill="1" applyBorder="1" applyAlignment="1">
      <alignment horizontal="center" vertical="top" wrapText="1"/>
    </xf>
    <xf numFmtId="20" fontId="18" fillId="10" borderId="16" xfId="0" applyNumberFormat="1" applyFont="1" applyFill="1" applyBorder="1" applyAlignment="1">
      <alignment wrapText="1"/>
    </xf>
    <xf numFmtId="166" fontId="0" fillId="9" borderId="35" xfId="0" applyNumberFormat="1" applyFill="1" applyBorder="1" applyAlignment="1" applyProtection="1">
      <alignment horizontal="center" vertical="top" wrapText="1"/>
      <protection locked="0"/>
    </xf>
    <xf numFmtId="20" fontId="18" fillId="10" borderId="8" xfId="0" applyNumberFormat="1" applyFont="1" applyFill="1" applyBorder="1" applyAlignment="1">
      <alignment wrapText="1"/>
    </xf>
    <xf numFmtId="166" fontId="0" fillId="9" borderId="44" xfId="0" applyNumberFormat="1" applyFill="1" applyBorder="1" applyAlignment="1" applyProtection="1">
      <alignment horizontal="center" vertical="top" wrapText="1"/>
      <protection locked="0"/>
    </xf>
    <xf numFmtId="0" fontId="18" fillId="11" borderId="12" xfId="0" applyFont="1" applyFill="1" applyBorder="1" applyAlignment="1">
      <alignment wrapText="1"/>
    </xf>
    <xf numFmtId="166" fontId="0" fillId="2" borderId="36" xfId="0" applyNumberFormat="1" applyFill="1" applyBorder="1" applyAlignment="1" applyProtection="1">
      <alignment horizontal="center" vertical="top" wrapText="1"/>
      <protection locked="0"/>
    </xf>
    <xf numFmtId="0" fontId="23" fillId="2" borderId="8" xfId="0" applyFont="1" applyFill="1" applyBorder="1" applyAlignment="1" applyProtection="1">
      <alignment vertical="top" wrapText="1"/>
      <protection locked="0"/>
    </xf>
    <xf numFmtId="0" fontId="23" fillId="2" borderId="17" xfId="0" applyFont="1" applyFill="1" applyBorder="1" applyAlignment="1" applyProtection="1">
      <alignment vertical="top" wrapText="1"/>
      <protection locked="0"/>
    </xf>
    <xf numFmtId="0" fontId="2" fillId="2" borderId="13" xfId="1" applyFill="1" applyBorder="1" applyAlignment="1" applyProtection="1">
      <alignment vertical="top" wrapText="1"/>
      <protection locked="0"/>
    </xf>
    <xf numFmtId="0" fontId="0" fillId="2" borderId="13" xfId="0" applyFill="1" applyBorder="1" applyAlignment="1" applyProtection="1">
      <alignment vertical="top" wrapText="1"/>
      <protection locked="0"/>
    </xf>
    <xf numFmtId="0" fontId="0" fillId="2" borderId="6" xfId="0" applyFill="1" applyBorder="1" applyAlignment="1" applyProtection="1">
      <alignment vertical="top" wrapText="1"/>
      <protection locked="0"/>
    </xf>
    <xf numFmtId="0" fontId="23" fillId="2" borderId="8" xfId="0" applyFont="1" applyFill="1" applyBorder="1" applyAlignment="1" applyProtection="1">
      <alignment horizontal="center" vertical="top" wrapText="1"/>
      <protection locked="0"/>
    </xf>
    <xf numFmtId="0" fontId="23" fillId="2" borderId="8" xfId="0" applyFont="1" applyFill="1" applyBorder="1" applyAlignment="1">
      <alignment vertical="top" wrapText="1"/>
    </xf>
    <xf numFmtId="0" fontId="9" fillId="5" borderId="16" xfId="0" applyFont="1" applyFill="1" applyBorder="1" applyAlignment="1">
      <alignment horizontal="center" vertical="center" wrapText="1"/>
    </xf>
    <xf numFmtId="0" fontId="9" fillId="5" borderId="15" xfId="0" applyFont="1" applyFill="1" applyBorder="1" applyAlignment="1">
      <alignment horizontal="center" vertical="top" wrapText="1"/>
    </xf>
    <xf numFmtId="0" fontId="8" fillId="7" borderId="16"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26" fillId="9" borderId="12" xfId="0" applyFont="1" applyFill="1" applyBorder="1" applyAlignment="1" applyProtection="1">
      <alignment vertical="top" wrapText="1"/>
      <protection locked="0"/>
    </xf>
    <xf numFmtId="165" fontId="0" fillId="9" borderId="16" xfId="0" applyNumberFormat="1" applyFill="1" applyBorder="1" applyAlignment="1">
      <alignment horizontal="center" vertical="top" wrapText="1"/>
    </xf>
    <xf numFmtId="0" fontId="0" fillId="8" borderId="21" xfId="0" applyFill="1" applyBorder="1" applyAlignment="1">
      <alignment horizontal="center" vertical="top" wrapText="1"/>
    </xf>
    <xf numFmtId="165" fontId="0" fillId="9" borderId="15" xfId="0" applyNumberFormat="1" applyFill="1" applyBorder="1" applyAlignment="1">
      <alignment horizontal="center" vertical="top" wrapText="1"/>
    </xf>
    <xf numFmtId="0" fontId="20" fillId="9" borderId="26" xfId="0" applyFont="1" applyFill="1" applyBorder="1" applyAlignment="1" applyProtection="1">
      <alignment horizontal="left" vertical="top" wrapText="1"/>
      <protection locked="0"/>
    </xf>
    <xf numFmtId="0" fontId="20" fillId="9" borderId="12" xfId="0" applyFont="1" applyFill="1" applyBorder="1" applyAlignment="1" applyProtection="1">
      <alignment vertical="top" wrapText="1"/>
      <protection locked="0"/>
    </xf>
    <xf numFmtId="0" fontId="26" fillId="9" borderId="26" xfId="0" applyFont="1" applyFill="1" applyBorder="1" applyAlignment="1" applyProtection="1">
      <alignment vertical="top" wrapText="1"/>
      <protection locked="0"/>
    </xf>
    <xf numFmtId="0" fontId="26" fillId="9" borderId="17" xfId="0" applyFont="1" applyFill="1" applyBorder="1" applyAlignment="1" applyProtection="1">
      <alignment horizontal="center" vertical="top" wrapText="1"/>
      <protection locked="0"/>
    </xf>
    <xf numFmtId="0" fontId="26" fillId="9" borderId="8" xfId="0" applyFont="1" applyFill="1" applyBorder="1" applyAlignment="1" applyProtection="1">
      <alignment horizontal="center" vertical="top" wrapText="1"/>
      <protection locked="0"/>
    </xf>
    <xf numFmtId="0" fontId="26" fillId="9" borderId="21" xfId="0" applyFont="1" applyFill="1" applyBorder="1" applyAlignment="1" applyProtection="1">
      <alignment vertical="top" wrapText="1"/>
      <protection locked="0"/>
    </xf>
    <xf numFmtId="0" fontId="26" fillId="9" borderId="45" xfId="0" applyFont="1" applyFill="1" applyBorder="1" applyAlignment="1" applyProtection="1">
      <alignment horizontal="center" vertical="top" wrapText="1"/>
      <protection locked="0"/>
    </xf>
    <xf numFmtId="0" fontId="26" fillId="9" borderId="46" xfId="0" applyFont="1" applyFill="1" applyBorder="1" applyAlignment="1" applyProtection="1">
      <alignment horizontal="center" vertical="top" wrapText="1"/>
      <protection locked="0"/>
    </xf>
    <xf numFmtId="0" fontId="0" fillId="13" borderId="16" xfId="0" applyFill="1" applyBorder="1" applyAlignment="1" applyProtection="1">
      <alignment vertical="top" wrapText="1"/>
      <protection locked="0"/>
    </xf>
    <xf numFmtId="0" fontId="26" fillId="9" borderId="20" xfId="0" applyFont="1" applyFill="1" applyBorder="1" applyAlignment="1" applyProtection="1">
      <alignment vertical="top" wrapText="1"/>
      <protection locked="0"/>
    </xf>
    <xf numFmtId="166" fontId="0" fillId="14" borderId="16" xfId="0" applyNumberFormat="1" applyFill="1" applyBorder="1" applyAlignment="1" applyProtection="1">
      <alignment horizontal="center" vertical="top" wrapText="1"/>
      <protection locked="0"/>
    </xf>
    <xf numFmtId="166" fontId="0" fillId="14" borderId="8" xfId="0" applyNumberFormat="1" applyFill="1" applyBorder="1" applyAlignment="1" applyProtection="1">
      <alignment horizontal="center" vertical="top" wrapText="1"/>
      <protection locked="0"/>
    </xf>
    <xf numFmtId="166" fontId="0" fillId="14" borderId="12" xfId="0" applyNumberFormat="1" applyFill="1" applyBorder="1" applyAlignment="1" applyProtection="1">
      <alignment horizontal="center" vertical="top" wrapText="1"/>
      <protection locked="0"/>
    </xf>
    <xf numFmtId="0" fontId="20" fillId="9" borderId="20" xfId="0" applyFont="1" applyFill="1" applyBorder="1" applyAlignment="1" applyProtection="1">
      <alignment horizontal="left" vertical="top" wrapText="1"/>
      <protection locked="0"/>
    </xf>
    <xf numFmtId="0" fontId="26" fillId="15" borderId="16" xfId="0" applyFont="1" applyFill="1" applyBorder="1" applyAlignment="1">
      <alignment horizontal="left" vertical="top" wrapText="1"/>
    </xf>
    <xf numFmtId="0" fontId="0" fillId="16" borderId="12" xfId="0" applyFill="1" applyBorder="1" applyAlignment="1">
      <alignment horizontal="center" vertical="center" wrapText="1"/>
    </xf>
    <xf numFmtId="0" fontId="0" fillId="16" borderId="16" xfId="0" applyFill="1" applyBorder="1" applyAlignment="1">
      <alignment horizontal="center" vertical="top" wrapText="1"/>
    </xf>
    <xf numFmtId="0" fontId="0" fillId="16" borderId="12" xfId="0" applyFill="1" applyBorder="1" applyAlignment="1" applyProtection="1">
      <alignment horizontal="center" vertical="top" wrapText="1"/>
      <protection locked="0"/>
    </xf>
    <xf numFmtId="0" fontId="0" fillId="16" borderId="20" xfId="0" applyFill="1" applyBorder="1" applyAlignment="1" applyProtection="1">
      <alignment horizontal="center" vertical="top" wrapText="1"/>
      <protection locked="0"/>
    </xf>
    <xf numFmtId="0" fontId="20" fillId="16" borderId="20" xfId="0" applyFont="1" applyFill="1" applyBorder="1" applyAlignment="1" applyProtection="1">
      <alignment horizontal="left" vertical="top" wrapText="1"/>
      <protection locked="0"/>
    </xf>
    <xf numFmtId="0" fontId="26" fillId="16" borderId="12" xfId="0" applyFont="1" applyFill="1" applyBorder="1" applyAlignment="1" applyProtection="1">
      <alignment vertical="top" wrapText="1"/>
      <protection locked="0"/>
    </xf>
    <xf numFmtId="0" fontId="27" fillId="17" borderId="16" xfId="0" applyFont="1" applyFill="1" applyBorder="1" applyAlignment="1">
      <alignment horizontal="left" vertical="top" wrapText="1"/>
    </xf>
    <xf numFmtId="0" fontId="26" fillId="16" borderId="45" xfId="0" applyFont="1" applyFill="1" applyBorder="1" applyAlignment="1" applyProtection="1">
      <alignment horizontal="center" vertical="top" wrapText="1"/>
      <protection locked="0"/>
    </xf>
    <xf numFmtId="0" fontId="26" fillId="16" borderId="46" xfId="0" applyFont="1" applyFill="1" applyBorder="1" applyAlignment="1" applyProtection="1">
      <alignment horizontal="center" vertical="top" wrapText="1"/>
      <protection locked="0"/>
    </xf>
    <xf numFmtId="0" fontId="0" fillId="16" borderId="16" xfId="0" applyFill="1" applyBorder="1" applyAlignment="1" applyProtection="1">
      <alignment horizontal="center" vertical="top" wrapText="1"/>
      <protection locked="0"/>
    </xf>
    <xf numFmtId="0" fontId="0" fillId="16" borderId="8" xfId="0" applyFill="1" applyBorder="1" applyAlignment="1">
      <alignment horizontal="center" vertical="top" wrapText="1"/>
    </xf>
    <xf numFmtId="164" fontId="0" fillId="16" borderId="20" xfId="0" applyNumberFormat="1" applyFill="1" applyBorder="1" applyAlignment="1" applyProtection="1">
      <alignment horizontal="center" vertical="top" wrapText="1"/>
      <protection locked="0"/>
    </xf>
    <xf numFmtId="165" fontId="0" fillId="16" borderId="16" xfId="0" applyNumberFormat="1" applyFill="1" applyBorder="1" applyAlignment="1">
      <alignment horizontal="center" vertical="top" wrapText="1"/>
    </xf>
    <xf numFmtId="166" fontId="0" fillId="16" borderId="16" xfId="0" applyNumberFormat="1" applyFill="1" applyBorder="1" applyAlignment="1" applyProtection="1">
      <alignment horizontal="center" vertical="top" wrapText="1"/>
      <protection locked="0"/>
    </xf>
    <xf numFmtId="166" fontId="0" fillId="16" borderId="8" xfId="0" applyNumberFormat="1" applyFill="1" applyBorder="1" applyAlignment="1" applyProtection="1">
      <alignment horizontal="center" vertical="top" wrapText="1"/>
      <protection locked="0"/>
    </xf>
    <xf numFmtId="164" fontId="0" fillId="16" borderId="9" xfId="0" applyNumberFormat="1" applyFill="1" applyBorder="1" applyAlignment="1" applyProtection="1">
      <alignment horizontal="center" vertical="top" wrapText="1"/>
      <protection locked="0"/>
    </xf>
    <xf numFmtId="166" fontId="0" fillId="16" borderId="12" xfId="0" applyNumberFormat="1" applyFill="1" applyBorder="1" applyAlignment="1" applyProtection="1">
      <alignment horizontal="center" vertical="top" wrapText="1"/>
      <protection locked="0"/>
    </xf>
    <xf numFmtId="0" fontId="0" fillId="16" borderId="9" xfId="0" applyFill="1" applyBorder="1" applyAlignment="1" applyProtection="1">
      <alignment horizontal="center" vertical="top" wrapText="1"/>
      <protection locked="0"/>
    </xf>
    <xf numFmtId="0" fontId="0" fillId="16" borderId="16" xfId="0" applyFill="1" applyBorder="1" applyAlignment="1" applyProtection="1">
      <alignment horizontal="left" vertical="top" wrapText="1"/>
      <protection locked="0"/>
    </xf>
    <xf numFmtId="0" fontId="0" fillId="16" borderId="16" xfId="0" applyFill="1" applyBorder="1" applyAlignment="1" applyProtection="1">
      <alignment vertical="top" wrapText="1"/>
      <protection locked="0"/>
    </xf>
    <xf numFmtId="0" fontId="0" fillId="16" borderId="8" xfId="0" applyFill="1" applyBorder="1" applyAlignment="1" applyProtection="1">
      <alignment vertical="top" wrapText="1"/>
      <protection locked="0"/>
    </xf>
    <xf numFmtId="0" fontId="0" fillId="16" borderId="9" xfId="0" applyFill="1" applyBorder="1" applyAlignment="1" applyProtection="1">
      <alignment vertical="top" wrapText="1"/>
      <protection locked="0"/>
    </xf>
    <xf numFmtId="0" fontId="0" fillId="16" borderId="17" xfId="0" applyFill="1" applyBorder="1" applyAlignment="1" applyProtection="1">
      <alignment vertical="top" wrapText="1"/>
      <protection locked="0"/>
    </xf>
    <xf numFmtId="0" fontId="26" fillId="18" borderId="16" xfId="0" applyFont="1" applyFill="1" applyBorder="1" applyAlignment="1">
      <alignment horizontal="left" vertical="top" wrapText="1"/>
    </xf>
    <xf numFmtId="0" fontId="0" fillId="16" borderId="20" xfId="0" applyFill="1" applyBorder="1" applyAlignment="1" applyProtection="1">
      <alignment vertical="top" wrapText="1"/>
      <protection locked="0"/>
    </xf>
    <xf numFmtId="0" fontId="2" fillId="16" borderId="17" xfId="1" applyFill="1" applyBorder="1" applyAlignment="1" applyProtection="1">
      <alignment vertical="top" wrapText="1"/>
      <protection locked="0"/>
    </xf>
    <xf numFmtId="0" fontId="2" fillId="16" borderId="12" xfId="1" applyFill="1" applyBorder="1" applyAlignment="1" applyProtection="1">
      <alignment vertical="top" wrapText="1"/>
      <protection locked="0"/>
    </xf>
    <xf numFmtId="0" fontId="0" fillId="16" borderId="16" xfId="0" applyFill="1" applyBorder="1" applyAlignment="1">
      <alignment vertical="top" wrapText="1"/>
    </xf>
    <xf numFmtId="0" fontId="0" fillId="16" borderId="8" xfId="0" applyFill="1" applyBorder="1" applyAlignment="1">
      <alignment vertical="top" wrapText="1"/>
    </xf>
    <xf numFmtId="0" fontId="0" fillId="16" borderId="0" xfId="0" applyFill="1" applyAlignment="1">
      <alignment vertical="center" wrapText="1"/>
    </xf>
    <xf numFmtId="0" fontId="0" fillId="16" borderId="0" xfId="0" applyFill="1" applyAlignment="1">
      <alignment wrapText="1"/>
    </xf>
    <xf numFmtId="0" fontId="20" fillId="2" borderId="16" xfId="0" applyFont="1" applyFill="1" applyBorder="1" applyAlignment="1" applyProtection="1">
      <alignment vertical="top" wrapText="1"/>
      <protection locked="0"/>
    </xf>
    <xf numFmtId="0" fontId="20" fillId="2" borderId="12" xfId="0" applyFont="1" applyFill="1" applyBorder="1" applyAlignment="1" applyProtection="1">
      <alignment vertical="top" wrapText="1"/>
      <protection locked="0"/>
    </xf>
    <xf numFmtId="0" fontId="0" fillId="16" borderId="15" xfId="0" applyFill="1" applyBorder="1" applyAlignment="1">
      <alignment horizontal="center" vertical="top" wrapText="1"/>
    </xf>
    <xf numFmtId="0" fontId="26" fillId="17" borderId="16" xfId="0" applyFont="1" applyFill="1" applyBorder="1" applyAlignment="1">
      <alignment horizontal="left" vertical="top" wrapText="1"/>
    </xf>
    <xf numFmtId="0" fontId="20" fillId="9" borderId="12" xfId="0" applyFont="1" applyFill="1" applyBorder="1" applyAlignment="1" applyProtection="1">
      <alignment horizontal="left" vertical="top" wrapText="1"/>
      <protection locked="0"/>
    </xf>
    <xf numFmtId="0" fontId="0" fillId="19" borderId="12" xfId="0" applyFill="1" applyBorder="1" applyAlignment="1">
      <alignment horizontal="center" vertical="center" wrapText="1"/>
    </xf>
    <xf numFmtId="0" fontId="0" fillId="19" borderId="16" xfId="0" applyFill="1" applyBorder="1" applyAlignment="1">
      <alignment horizontal="center" vertical="top" wrapText="1"/>
    </xf>
    <xf numFmtId="0" fontId="0" fillId="19" borderId="12" xfId="0" applyFill="1" applyBorder="1" applyAlignment="1" applyProtection="1">
      <alignment horizontal="center" vertical="top" wrapText="1"/>
      <protection locked="0"/>
    </xf>
    <xf numFmtId="0" fontId="0" fillId="19" borderId="20" xfId="0" applyFill="1" applyBorder="1" applyAlignment="1" applyProtection="1">
      <alignment horizontal="center" vertical="top" wrapText="1"/>
      <protection locked="0"/>
    </xf>
    <xf numFmtId="0" fontId="20" fillId="19" borderId="20" xfId="0" applyFont="1" applyFill="1" applyBorder="1" applyAlignment="1" applyProtection="1">
      <alignment horizontal="left" vertical="top" wrapText="1"/>
      <protection locked="0"/>
    </xf>
    <xf numFmtId="0" fontId="26" fillId="19" borderId="12" xfId="0" applyFont="1" applyFill="1" applyBorder="1" applyAlignment="1" applyProtection="1">
      <alignment vertical="top" wrapText="1"/>
      <protection locked="0"/>
    </xf>
    <xf numFmtId="0" fontId="26" fillId="19" borderId="25" xfId="0" applyFont="1" applyFill="1" applyBorder="1" applyAlignment="1" applyProtection="1">
      <alignment horizontal="center" vertical="top" wrapText="1"/>
      <protection locked="0"/>
    </xf>
    <xf numFmtId="0" fontId="0" fillId="19" borderId="15" xfId="0" applyFill="1" applyBorder="1" applyAlignment="1">
      <alignment horizontal="center" vertical="top" wrapText="1"/>
    </xf>
    <xf numFmtId="0" fontId="0" fillId="19" borderId="16" xfId="0" applyFill="1" applyBorder="1" applyAlignment="1" applyProtection="1">
      <alignment horizontal="center" vertical="top" wrapText="1"/>
      <protection locked="0"/>
    </xf>
    <xf numFmtId="0" fontId="0" fillId="19" borderId="8" xfId="0" applyFill="1" applyBorder="1" applyAlignment="1">
      <alignment horizontal="center" vertical="top" wrapText="1"/>
    </xf>
    <xf numFmtId="164" fontId="0" fillId="19" borderId="9" xfId="0" applyNumberFormat="1" applyFill="1" applyBorder="1" applyAlignment="1" applyProtection="1">
      <alignment horizontal="center" vertical="top" wrapText="1"/>
      <protection locked="0"/>
    </xf>
    <xf numFmtId="165" fontId="0" fillId="19" borderId="16" xfId="0" applyNumberFormat="1" applyFill="1" applyBorder="1" applyAlignment="1">
      <alignment horizontal="center" vertical="top" wrapText="1"/>
    </xf>
    <xf numFmtId="166" fontId="0" fillId="19" borderId="16" xfId="0" applyNumberFormat="1" applyFill="1" applyBorder="1" applyAlignment="1" applyProtection="1">
      <alignment horizontal="center" vertical="top" wrapText="1"/>
      <protection locked="0"/>
    </xf>
    <xf numFmtId="166" fontId="0" fillId="19" borderId="8" xfId="0" applyNumberFormat="1" applyFill="1" applyBorder="1" applyAlignment="1" applyProtection="1">
      <alignment horizontal="center" vertical="top" wrapText="1"/>
      <protection locked="0"/>
    </xf>
    <xf numFmtId="166" fontId="0" fillId="19" borderId="12" xfId="0" applyNumberFormat="1" applyFill="1" applyBorder="1" applyAlignment="1" applyProtection="1">
      <alignment horizontal="center" vertical="top" wrapText="1"/>
      <protection locked="0"/>
    </xf>
    <xf numFmtId="164" fontId="0" fillId="19" borderId="20" xfId="0" applyNumberFormat="1" applyFill="1" applyBorder="1" applyAlignment="1" applyProtection="1">
      <alignment horizontal="center" vertical="top" wrapText="1"/>
      <protection locked="0"/>
    </xf>
    <xf numFmtId="0" fontId="0" fillId="19" borderId="9" xfId="0" applyFill="1" applyBorder="1" applyAlignment="1" applyProtection="1">
      <alignment horizontal="center" vertical="top" wrapText="1"/>
      <protection locked="0"/>
    </xf>
    <xf numFmtId="0" fontId="0" fillId="19" borderId="16" xfId="0" applyFill="1" applyBorder="1" applyAlignment="1" applyProtection="1">
      <alignment horizontal="left" vertical="top" wrapText="1"/>
      <protection locked="0"/>
    </xf>
    <xf numFmtId="0" fontId="0" fillId="19" borderId="16" xfId="0" applyFill="1" applyBorder="1" applyAlignment="1" applyProtection="1">
      <alignment vertical="top" wrapText="1"/>
      <protection locked="0"/>
    </xf>
    <xf numFmtId="0" fontId="0" fillId="19" borderId="8" xfId="0" applyFill="1" applyBorder="1" applyAlignment="1" applyProtection="1">
      <alignment vertical="top" wrapText="1"/>
      <protection locked="0"/>
    </xf>
    <xf numFmtId="0" fontId="0" fillId="19" borderId="9" xfId="0" applyFill="1" applyBorder="1" applyAlignment="1" applyProtection="1">
      <alignment vertical="top" wrapText="1"/>
      <protection locked="0"/>
    </xf>
    <xf numFmtId="0" fontId="0" fillId="19" borderId="17" xfId="0" applyFill="1" applyBorder="1" applyAlignment="1" applyProtection="1">
      <alignment vertical="top" wrapText="1"/>
      <protection locked="0"/>
    </xf>
    <xf numFmtId="0" fontId="0" fillId="19" borderId="20" xfId="0" applyFill="1" applyBorder="1" applyAlignment="1" applyProtection="1">
      <alignment vertical="top" wrapText="1"/>
      <protection locked="0"/>
    </xf>
    <xf numFmtId="0" fontId="2" fillId="19" borderId="17" xfId="1" applyFill="1" applyBorder="1" applyAlignment="1" applyProtection="1">
      <alignment vertical="top" wrapText="1"/>
      <protection locked="0"/>
    </xf>
    <xf numFmtId="0" fontId="2" fillId="19" borderId="12" xfId="1" applyFill="1" applyBorder="1" applyAlignment="1" applyProtection="1">
      <alignment vertical="top" wrapText="1"/>
      <protection locked="0"/>
    </xf>
    <xf numFmtId="0" fontId="0" fillId="19" borderId="8" xfId="0" applyFill="1" applyBorder="1" applyAlignment="1" applyProtection="1">
      <alignment horizontal="center" vertical="top" wrapText="1"/>
      <protection locked="0"/>
    </xf>
    <xf numFmtId="0" fontId="0" fillId="19" borderId="16" xfId="0" applyFill="1" applyBorder="1" applyAlignment="1">
      <alignment vertical="top" wrapText="1"/>
    </xf>
    <xf numFmtId="0" fontId="0" fillId="19" borderId="8" xfId="0" applyFill="1" applyBorder="1" applyAlignment="1">
      <alignment vertical="top" wrapText="1"/>
    </xf>
    <xf numFmtId="0" fontId="0" fillId="19" borderId="0" xfId="0" applyFill="1" applyAlignment="1">
      <alignment vertical="center" wrapText="1"/>
    </xf>
    <xf numFmtId="0" fontId="0" fillId="19" borderId="0" xfId="0" applyFill="1" applyAlignment="1">
      <alignment wrapText="1"/>
    </xf>
    <xf numFmtId="0" fontId="0" fillId="19" borderId="12" xfId="0" applyFill="1" applyBorder="1" applyAlignment="1" applyProtection="1">
      <alignment vertical="top" wrapText="1"/>
      <protection locked="0"/>
    </xf>
    <xf numFmtId="0" fontId="28" fillId="19" borderId="48" xfId="1" applyFont="1" applyFill="1" applyBorder="1" applyAlignment="1" applyProtection="1">
      <alignment vertical="top" wrapText="1"/>
      <protection locked="0"/>
    </xf>
    <xf numFmtId="0" fontId="28" fillId="19" borderId="28" xfId="1" applyNumberFormat="1" applyFont="1" applyFill="1" applyBorder="1" applyAlignment="1" applyProtection="1">
      <alignment vertical="top" wrapText="1"/>
      <protection locked="0"/>
    </xf>
    <xf numFmtId="0" fontId="29" fillId="10" borderId="13" xfId="0" applyFont="1" applyFill="1" applyBorder="1"/>
    <xf numFmtId="0" fontId="28" fillId="9" borderId="17" xfId="1" applyFont="1" applyFill="1" applyBorder="1" applyAlignment="1" applyProtection="1">
      <alignment vertical="top" wrapText="1"/>
      <protection locked="0"/>
    </xf>
    <xf numFmtId="164" fontId="19" fillId="9" borderId="9" xfId="0" applyNumberFormat="1" applyFont="1" applyFill="1" applyBorder="1" applyAlignment="1" applyProtection="1">
      <alignment horizontal="center" vertical="top" wrapText="1"/>
      <protection locked="0"/>
    </xf>
    <xf numFmtId="0" fontId="13" fillId="8" borderId="12" xfId="0" applyFont="1" applyFill="1" applyBorder="1" applyAlignment="1" applyProtection="1">
      <alignment horizontal="center" vertical="top" wrapText="1"/>
      <protection locked="0"/>
    </xf>
    <xf numFmtId="0" fontId="13" fillId="9" borderId="8" xfId="0" applyFont="1" applyFill="1" applyBorder="1" applyAlignment="1" applyProtection="1">
      <alignment horizontal="left" vertical="top" wrapText="1"/>
      <protection locked="0"/>
    </xf>
    <xf numFmtId="0" fontId="13" fillId="9" borderId="16" xfId="0" applyFont="1" applyFill="1" applyBorder="1" applyAlignment="1" applyProtection="1">
      <alignment vertical="top" wrapText="1"/>
      <protection locked="0"/>
    </xf>
    <xf numFmtId="0" fontId="13" fillId="9" borderId="17" xfId="0" applyFont="1" applyFill="1" applyBorder="1" applyAlignment="1" applyProtection="1">
      <alignment horizontal="center" vertical="top" wrapText="1"/>
      <protection locked="0"/>
    </xf>
    <xf numFmtId="0" fontId="13" fillId="3" borderId="15" xfId="0" applyFont="1" applyFill="1" applyBorder="1" applyAlignment="1">
      <alignment horizontal="center" vertical="top" wrapText="1"/>
    </xf>
    <xf numFmtId="0" fontId="13" fillId="3" borderId="8" xfId="0" applyFont="1" applyFill="1" applyBorder="1" applyAlignment="1">
      <alignment horizontal="center" vertical="top" wrapText="1"/>
    </xf>
    <xf numFmtId="164" fontId="13" fillId="9" borderId="9" xfId="0" applyNumberFormat="1" applyFont="1" applyFill="1" applyBorder="1" applyAlignment="1" applyProtection="1">
      <alignment horizontal="center" vertical="top" wrapText="1"/>
      <protection locked="0"/>
    </xf>
    <xf numFmtId="166" fontId="13" fillId="9" borderId="16" xfId="0" applyNumberFormat="1" applyFont="1" applyFill="1" applyBorder="1" applyAlignment="1" applyProtection="1">
      <alignment horizontal="center" vertical="top" wrapText="1"/>
      <protection locked="0"/>
    </xf>
    <xf numFmtId="166" fontId="13" fillId="9" borderId="8" xfId="0" applyNumberFormat="1" applyFont="1" applyFill="1" applyBorder="1" applyAlignment="1" applyProtection="1">
      <alignment horizontal="center" vertical="top" wrapText="1"/>
      <protection locked="0"/>
    </xf>
    <xf numFmtId="166" fontId="13" fillId="9" borderId="12" xfId="0" applyNumberFormat="1" applyFont="1" applyFill="1" applyBorder="1" applyAlignment="1" applyProtection="1">
      <alignment horizontal="center" vertical="top" wrapText="1"/>
      <protection locked="0"/>
    </xf>
    <xf numFmtId="164" fontId="13" fillId="9" borderId="20" xfId="0" applyNumberFormat="1" applyFont="1" applyFill="1" applyBorder="1" applyAlignment="1" applyProtection="1">
      <alignment horizontal="center" vertical="top" wrapText="1"/>
      <protection locked="0"/>
    </xf>
    <xf numFmtId="165" fontId="13" fillId="3" borderId="16" xfId="0" applyNumberFormat="1" applyFont="1" applyFill="1" applyBorder="1" applyAlignment="1">
      <alignment horizontal="center" vertical="top" wrapText="1"/>
    </xf>
    <xf numFmtId="0" fontId="13" fillId="9" borderId="16" xfId="0" applyFont="1" applyFill="1" applyBorder="1" applyAlignment="1" applyProtection="1">
      <alignment horizontal="left" vertical="top" wrapText="1"/>
      <protection locked="0"/>
    </xf>
    <xf numFmtId="0" fontId="13" fillId="9" borderId="17" xfId="0" applyFont="1" applyFill="1" applyBorder="1" applyAlignment="1" applyProtection="1">
      <alignment vertical="top" wrapText="1"/>
      <protection locked="0"/>
    </xf>
    <xf numFmtId="0" fontId="13" fillId="9" borderId="20" xfId="0" applyFont="1" applyFill="1" applyBorder="1" applyAlignment="1" applyProtection="1">
      <alignment vertical="top" wrapText="1"/>
      <protection locked="0"/>
    </xf>
    <xf numFmtId="20" fontId="0" fillId="9" borderId="16" xfId="0" applyNumberFormat="1" applyFill="1" applyBorder="1" applyAlignment="1" applyProtection="1">
      <alignment vertical="top" wrapText="1"/>
      <protection locked="0"/>
    </xf>
    <xf numFmtId="0" fontId="13" fillId="9" borderId="26" xfId="0" applyFont="1" applyFill="1" applyBorder="1" applyAlignment="1" applyProtection="1">
      <alignment vertical="top" wrapText="1"/>
      <protection locked="0"/>
    </xf>
    <xf numFmtId="0" fontId="13" fillId="9" borderId="32" xfId="0" applyFont="1" applyFill="1" applyBorder="1" applyAlignment="1" applyProtection="1">
      <alignment horizontal="center" vertical="top" wrapText="1"/>
      <protection locked="0"/>
    </xf>
    <xf numFmtId="0" fontId="13" fillId="9" borderId="27" xfId="0" applyFont="1" applyFill="1" applyBorder="1" applyAlignment="1" applyProtection="1">
      <alignment horizontal="center" vertical="top" wrapText="1"/>
      <protection locked="0"/>
    </xf>
    <xf numFmtId="0" fontId="13" fillId="3" borderId="16" xfId="0" applyFont="1" applyFill="1" applyBorder="1" applyAlignment="1">
      <alignment horizontal="center" vertical="top" wrapText="1"/>
    </xf>
    <xf numFmtId="166" fontId="13" fillId="9" borderId="31" xfId="0" applyNumberFormat="1" applyFont="1" applyFill="1" applyBorder="1" applyAlignment="1" applyProtection="1">
      <alignment horizontal="center" vertical="top" wrapText="1"/>
      <protection locked="0"/>
    </xf>
    <xf numFmtId="164" fontId="13" fillId="9" borderId="26" xfId="0" applyNumberFormat="1" applyFont="1" applyFill="1" applyBorder="1" applyAlignment="1" applyProtection="1">
      <alignment horizontal="center" vertical="top" wrapText="1"/>
      <protection locked="0"/>
    </xf>
    <xf numFmtId="166" fontId="13" fillId="9" borderId="27" xfId="0" applyNumberFormat="1" applyFont="1" applyFill="1" applyBorder="1" applyAlignment="1" applyProtection="1">
      <alignment horizontal="center" vertical="top" wrapText="1"/>
      <protection locked="0"/>
    </xf>
    <xf numFmtId="0" fontId="13" fillId="9" borderId="37" xfId="0" applyFont="1" applyFill="1" applyBorder="1" applyAlignment="1" applyProtection="1">
      <alignment vertical="top" wrapText="1"/>
      <protection locked="0"/>
    </xf>
    <xf numFmtId="0" fontId="0" fillId="20" borderId="32" xfId="0" applyFill="1" applyBorder="1" applyAlignment="1" applyProtection="1">
      <alignment horizontal="center" vertical="top" wrapText="1"/>
      <protection locked="0"/>
    </xf>
    <xf numFmtId="0" fontId="0" fillId="21" borderId="16" xfId="0" applyFill="1" applyBorder="1" applyAlignment="1" applyProtection="1">
      <alignment horizontal="center" vertical="top" wrapText="1"/>
      <protection locked="0"/>
    </xf>
    <xf numFmtId="0" fontId="0" fillId="21" borderId="12" xfId="0" applyFill="1" applyBorder="1" applyAlignment="1" applyProtection="1">
      <alignment vertical="top" wrapText="1"/>
      <protection locked="0"/>
    </xf>
    <xf numFmtId="0" fontId="31" fillId="9" borderId="9" xfId="0" applyFont="1" applyFill="1" applyBorder="1" applyAlignment="1" applyProtection="1">
      <alignment vertical="top" wrapText="1"/>
      <protection locked="0"/>
    </xf>
    <xf numFmtId="0" fontId="0" fillId="9" borderId="14" xfId="0" applyFill="1" applyBorder="1" applyAlignment="1" applyProtection="1">
      <alignment horizontal="center" vertical="top" wrapText="1"/>
      <protection locked="0"/>
    </xf>
    <xf numFmtId="0" fontId="0" fillId="21" borderId="9" xfId="0" applyFill="1" applyBorder="1" applyAlignment="1" applyProtection="1">
      <alignment vertical="top" wrapText="1"/>
      <protection locked="0"/>
    </xf>
    <xf numFmtId="0" fontId="0" fillId="21" borderId="16" xfId="0" applyFill="1" applyBorder="1" applyAlignment="1" applyProtection="1">
      <alignment vertical="top" wrapText="1"/>
      <protection locked="0"/>
    </xf>
    <xf numFmtId="166" fontId="0" fillId="21" borderId="16" xfId="0" applyNumberFormat="1" applyFill="1" applyBorder="1" applyAlignment="1" applyProtection="1">
      <alignment horizontal="center" vertical="top" wrapText="1"/>
      <protection locked="0"/>
    </xf>
    <xf numFmtId="166" fontId="0" fillId="21" borderId="8" xfId="0" applyNumberFormat="1" applyFill="1" applyBorder="1" applyAlignment="1" applyProtection="1">
      <alignment horizontal="center" vertical="top" wrapText="1"/>
      <protection locked="0"/>
    </xf>
    <xf numFmtId="0" fontId="0" fillId="21" borderId="9" xfId="0" applyFill="1" applyBorder="1" applyAlignment="1" applyProtection="1">
      <alignment horizontal="center" vertical="top" wrapText="1"/>
      <protection locked="0"/>
    </xf>
    <xf numFmtId="0" fontId="0" fillId="21" borderId="16" xfId="0" applyFill="1" applyBorder="1" applyAlignment="1" applyProtection="1">
      <alignment horizontal="left" vertical="top" wrapText="1"/>
      <protection locked="0"/>
    </xf>
    <xf numFmtId="0" fontId="0" fillId="21" borderId="21" xfId="0" applyFill="1" applyBorder="1" applyAlignment="1" applyProtection="1">
      <alignment vertical="top" wrapText="1"/>
      <protection locked="0"/>
    </xf>
    <xf numFmtId="0" fontId="2" fillId="21" borderId="6" xfId="1" applyFill="1" applyBorder="1" applyAlignment="1" applyProtection="1">
      <alignment vertical="top" wrapText="1"/>
      <protection locked="0"/>
    </xf>
    <xf numFmtId="0" fontId="0" fillId="21" borderId="20" xfId="0" applyFill="1" applyBorder="1" applyAlignment="1" applyProtection="1">
      <alignment horizontal="center" vertical="top" wrapText="1"/>
      <protection locked="0"/>
    </xf>
    <xf numFmtId="0" fontId="0" fillId="21" borderId="8" xfId="0" applyFill="1" applyBorder="1" applyAlignment="1" applyProtection="1">
      <alignment horizontal="center" vertical="top" wrapText="1"/>
      <protection locked="0"/>
    </xf>
    <xf numFmtId="0" fontId="14" fillId="9" borderId="20" xfId="0" applyFont="1" applyFill="1" applyBorder="1" applyAlignment="1" applyProtection="1">
      <alignment horizontal="center" vertical="top" wrapText="1"/>
      <protection locked="0"/>
    </xf>
    <xf numFmtId="0" fontId="14" fillId="9" borderId="12" xfId="0" applyFont="1" applyFill="1" applyBorder="1" applyAlignment="1" applyProtection="1">
      <alignment horizontal="center" vertical="top" wrapText="1"/>
      <protection locked="0"/>
    </xf>
    <xf numFmtId="0" fontId="32" fillId="9" borderId="9" xfId="0" applyFont="1" applyFill="1" applyBorder="1" applyAlignment="1" applyProtection="1">
      <alignment vertical="top" wrapText="1"/>
      <protection locked="0"/>
    </xf>
    <xf numFmtId="0" fontId="2" fillId="9" borderId="6" xfId="1" applyFill="1" applyBorder="1" applyAlignment="1" applyProtection="1">
      <alignment vertical="top" wrapText="1"/>
      <protection locked="0"/>
    </xf>
    <xf numFmtId="0" fontId="32" fillId="9" borderId="15" xfId="0" applyFont="1" applyFill="1" applyBorder="1" applyAlignment="1" applyProtection="1">
      <alignment horizontal="left" vertical="top" wrapText="1"/>
      <protection locked="0"/>
    </xf>
    <xf numFmtId="0" fontId="32" fillId="9" borderId="15" xfId="0" applyFont="1" applyFill="1" applyBorder="1" applyAlignment="1" applyProtection="1">
      <alignment horizontal="center" vertical="top" wrapText="1"/>
      <protection locked="0"/>
    </xf>
    <xf numFmtId="0" fontId="32" fillId="9" borderId="23" xfId="0" applyFont="1" applyFill="1" applyBorder="1" applyAlignment="1" applyProtection="1">
      <alignment vertical="top" wrapText="1"/>
      <protection locked="0"/>
    </xf>
    <xf numFmtId="0" fontId="32" fillId="9" borderId="21" xfId="0" applyFont="1" applyFill="1" applyBorder="1" applyAlignment="1" applyProtection="1">
      <alignment vertical="top" wrapText="1"/>
      <protection locked="0"/>
    </xf>
    <xf numFmtId="0" fontId="32" fillId="9" borderId="16" xfId="0" applyFont="1" applyFill="1" applyBorder="1" applyAlignment="1" applyProtection="1">
      <alignment horizontal="left" vertical="top" wrapText="1"/>
      <protection locked="0"/>
    </xf>
    <xf numFmtId="0" fontId="2" fillId="9" borderId="17" xfId="1" applyFill="1" applyBorder="1" applyAlignment="1" applyProtection="1">
      <alignment horizontal="center" vertical="top" wrapText="1"/>
      <protection locked="0"/>
    </xf>
    <xf numFmtId="0" fontId="2" fillId="9" borderId="12" xfId="1" applyFill="1" applyBorder="1" applyAlignment="1" applyProtection="1">
      <alignment horizontal="center" vertical="top" wrapText="1"/>
      <protection locked="0"/>
    </xf>
    <xf numFmtId="0" fontId="0" fillId="2" borderId="15" xfId="0" applyFill="1" applyBorder="1" applyAlignment="1" applyProtection="1">
      <alignment horizontal="center" vertical="top" wrapText="1"/>
      <protection locked="0"/>
    </xf>
    <xf numFmtId="0" fontId="0" fillId="9" borderId="23" xfId="0" applyFill="1" applyBorder="1" applyAlignment="1" applyProtection="1">
      <alignment horizontal="center" vertical="top" wrapText="1"/>
      <protection locked="0"/>
    </xf>
    <xf numFmtId="0" fontId="2" fillId="9" borderId="6" xfId="1" applyFill="1" applyBorder="1" applyAlignment="1" applyProtection="1">
      <alignment horizontal="center" vertical="top" wrapText="1"/>
      <protection locked="0"/>
    </xf>
    <xf numFmtId="0" fontId="15" fillId="8" borderId="16" xfId="0" applyFont="1" applyFill="1" applyBorder="1" applyAlignment="1">
      <alignment horizontal="center" vertical="top" wrapText="1"/>
    </xf>
    <xf numFmtId="0" fontId="15" fillId="9" borderId="20" xfId="0" applyFont="1" applyFill="1" applyBorder="1" applyAlignment="1" applyProtection="1">
      <alignment horizontal="center" vertical="top" wrapText="1"/>
      <protection locked="0"/>
    </xf>
    <xf numFmtId="0" fontId="15" fillId="21" borderId="16" xfId="0" applyFont="1" applyFill="1" applyBorder="1" applyAlignment="1" applyProtection="1">
      <alignment vertical="top" wrapText="1"/>
      <protection locked="0"/>
    </xf>
    <xf numFmtId="0" fontId="0" fillId="21" borderId="8" xfId="0" applyFill="1" applyBorder="1" applyAlignment="1" applyProtection="1">
      <alignment vertical="top" wrapText="1"/>
      <protection locked="0"/>
    </xf>
    <xf numFmtId="0" fontId="0" fillId="21" borderId="12" xfId="0" applyFill="1" applyBorder="1" applyAlignment="1" applyProtection="1">
      <alignment horizontal="center" vertical="top" wrapText="1"/>
      <protection locked="0"/>
    </xf>
    <xf numFmtId="164" fontId="0" fillId="21" borderId="9" xfId="0" applyNumberFormat="1" applyFill="1" applyBorder="1" applyAlignment="1" applyProtection="1">
      <alignment horizontal="center" vertical="top" wrapText="1"/>
      <protection locked="0"/>
    </xf>
    <xf numFmtId="166" fontId="15" fillId="21" borderId="12" xfId="0" applyNumberFormat="1" applyFont="1" applyFill="1" applyBorder="1" applyAlignment="1" applyProtection="1">
      <alignment horizontal="center" vertical="top" wrapText="1"/>
      <protection locked="0"/>
    </xf>
    <xf numFmtId="164" fontId="0" fillId="21" borderId="20" xfId="0" applyNumberFormat="1" applyFill="1" applyBorder="1" applyAlignment="1" applyProtection="1">
      <alignment horizontal="center" vertical="top" wrapText="1"/>
      <protection locked="0"/>
    </xf>
    <xf numFmtId="165" fontId="0" fillId="22" borderId="16" xfId="0" applyNumberFormat="1" applyFill="1" applyBorder="1" applyAlignment="1">
      <alignment horizontal="center" vertical="top" wrapText="1"/>
    </xf>
    <xf numFmtId="166" fontId="0" fillId="21" borderId="12" xfId="0" applyNumberFormat="1" applyFill="1" applyBorder="1" applyAlignment="1" applyProtection="1">
      <alignment horizontal="center" vertical="top" wrapText="1"/>
      <protection locked="0"/>
    </xf>
    <xf numFmtId="0" fontId="0" fillId="21" borderId="17" xfId="0" applyFill="1" applyBorder="1" applyAlignment="1" applyProtection="1">
      <alignment vertical="top" wrapText="1"/>
      <protection locked="0"/>
    </xf>
    <xf numFmtId="0" fontId="0" fillId="21" borderId="20" xfId="0" applyFill="1" applyBorder="1" applyAlignment="1" applyProtection="1">
      <alignment vertical="top" wrapText="1"/>
      <protection locked="0"/>
    </xf>
    <xf numFmtId="0" fontId="2" fillId="21" borderId="17" xfId="1" applyFill="1" applyBorder="1" applyAlignment="1" applyProtection="1">
      <alignment vertical="top" wrapText="1"/>
      <protection locked="0"/>
    </xf>
    <xf numFmtId="0" fontId="0" fillId="21" borderId="8" xfId="0" applyFill="1" applyBorder="1" applyAlignment="1">
      <alignment vertical="top" wrapText="1"/>
    </xf>
    <xf numFmtId="0" fontId="0" fillId="21" borderId="16" xfId="0" applyFill="1" applyBorder="1" applyAlignment="1">
      <alignment vertical="top" wrapText="1"/>
    </xf>
    <xf numFmtId="0" fontId="33" fillId="21" borderId="16" xfId="0" applyFont="1" applyFill="1" applyBorder="1" applyAlignment="1" applyProtection="1">
      <alignment horizontal="center" vertical="top" wrapText="1"/>
      <protection locked="0"/>
    </xf>
    <xf numFmtId="0" fontId="0" fillId="21" borderId="14" xfId="0" applyFill="1" applyBorder="1" applyAlignment="1" applyProtection="1">
      <alignment vertical="top" wrapText="1"/>
      <protection locked="0"/>
    </xf>
    <xf numFmtId="0" fontId="0" fillId="21" borderId="15" xfId="0" applyFill="1" applyBorder="1" applyAlignment="1" applyProtection="1">
      <alignment horizontal="center" vertical="top" wrapText="1"/>
      <protection locked="0"/>
    </xf>
    <xf numFmtId="164" fontId="0" fillId="21" borderId="21" xfId="0" applyNumberFormat="1" applyFill="1" applyBorder="1" applyAlignment="1" applyProtection="1">
      <alignment horizontal="center" vertical="top" wrapText="1"/>
      <protection locked="0"/>
    </xf>
    <xf numFmtId="166" fontId="0" fillId="21" borderId="15" xfId="0" applyNumberFormat="1" applyFill="1" applyBorder="1" applyAlignment="1" applyProtection="1">
      <alignment horizontal="center" vertical="top" wrapText="1"/>
      <protection locked="0"/>
    </xf>
    <xf numFmtId="166" fontId="0" fillId="21" borderId="14" xfId="0" applyNumberFormat="1" applyFill="1" applyBorder="1" applyAlignment="1" applyProtection="1">
      <alignment horizontal="center" vertical="top" wrapText="1"/>
      <protection locked="0"/>
    </xf>
    <xf numFmtId="166" fontId="15" fillId="21" borderId="23" xfId="0" applyNumberFormat="1" applyFont="1" applyFill="1" applyBorder="1" applyAlignment="1" applyProtection="1">
      <alignment horizontal="center" vertical="top" wrapText="1"/>
      <protection locked="0"/>
    </xf>
    <xf numFmtId="165" fontId="0" fillId="22" borderId="15" xfId="0" applyNumberFormat="1" applyFill="1" applyBorder="1" applyAlignment="1">
      <alignment horizontal="center" vertical="top" wrapText="1"/>
    </xf>
    <xf numFmtId="166" fontId="0" fillId="21" borderId="23" xfId="0" applyNumberFormat="1" applyFill="1" applyBorder="1" applyAlignment="1" applyProtection="1">
      <alignment horizontal="center" vertical="top" wrapText="1"/>
      <protection locked="0"/>
    </xf>
    <xf numFmtId="0" fontId="0" fillId="21" borderId="21" xfId="0" applyFill="1" applyBorder="1" applyAlignment="1" applyProtection="1">
      <alignment horizontal="center" vertical="top" wrapText="1"/>
      <protection locked="0"/>
    </xf>
    <xf numFmtId="0" fontId="0" fillId="21" borderId="15" xfId="0" applyFill="1" applyBorder="1" applyAlignment="1" applyProtection="1">
      <alignment horizontal="left" vertical="top" wrapText="1"/>
      <protection locked="0"/>
    </xf>
    <xf numFmtId="0" fontId="0" fillId="21" borderId="23" xfId="0" applyFill="1" applyBorder="1" applyAlignment="1" applyProtection="1">
      <alignment vertical="top" wrapText="1"/>
      <protection locked="0"/>
    </xf>
    <xf numFmtId="0" fontId="0" fillId="21" borderId="15" xfId="0" applyFill="1" applyBorder="1" applyAlignment="1" applyProtection="1">
      <alignment vertical="top" wrapText="1"/>
      <protection locked="0"/>
    </xf>
    <xf numFmtId="0" fontId="0" fillId="21" borderId="13" xfId="0" applyFill="1" applyBorder="1" applyAlignment="1" applyProtection="1">
      <alignment vertical="top" wrapText="1"/>
      <protection locked="0"/>
    </xf>
    <xf numFmtId="0" fontId="0" fillId="21" borderId="6" xfId="0" applyFill="1" applyBorder="1" applyAlignment="1" applyProtection="1">
      <alignment vertical="top" wrapText="1"/>
      <protection locked="0"/>
    </xf>
    <xf numFmtId="0" fontId="0" fillId="21" borderId="13" xfId="0" applyFill="1" applyBorder="1" applyAlignment="1" applyProtection="1">
      <alignment horizontal="center" vertical="top" wrapText="1"/>
      <protection locked="0"/>
    </xf>
    <xf numFmtId="0" fontId="0" fillId="21" borderId="6" xfId="0" applyFill="1" applyBorder="1" applyAlignment="1" applyProtection="1">
      <alignment horizontal="center" vertical="top" wrapText="1"/>
      <protection locked="0"/>
    </xf>
    <xf numFmtId="0" fontId="2" fillId="9" borderId="20" xfId="1" applyFill="1" applyBorder="1" applyAlignment="1" applyProtection="1">
      <alignment vertical="top" wrapText="1"/>
      <protection locked="0"/>
    </xf>
    <xf numFmtId="164" fontId="0" fillId="2" borderId="9" xfId="0" applyNumberFormat="1" applyFill="1" applyBorder="1" applyAlignment="1" applyProtection="1">
      <alignment horizontal="left" vertical="top" wrapText="1"/>
      <protection locked="0"/>
    </xf>
    <xf numFmtId="0" fontId="0" fillId="23" borderId="20" xfId="0" applyFill="1" applyBorder="1" applyAlignment="1" applyProtection="1">
      <alignment horizontal="center" vertical="top" wrapText="1"/>
      <protection locked="0"/>
    </xf>
    <xf numFmtId="0" fontId="0" fillId="23" borderId="16" xfId="0" applyFill="1" applyBorder="1" applyAlignment="1" applyProtection="1">
      <alignment vertical="top" wrapText="1"/>
      <protection locked="0"/>
    </xf>
    <xf numFmtId="0" fontId="0" fillId="23" borderId="8" xfId="0" applyFill="1" applyBorder="1" applyAlignment="1" applyProtection="1">
      <alignment vertical="top" wrapText="1"/>
      <protection locked="0"/>
    </xf>
    <xf numFmtId="0" fontId="0" fillId="2" borderId="17" xfId="0" applyFill="1" applyBorder="1" applyAlignment="1" applyProtection="1">
      <alignment horizontal="left" vertical="top" wrapText="1"/>
      <protection locked="0"/>
    </xf>
    <xf numFmtId="20" fontId="0" fillId="9" borderId="16" xfId="0" applyNumberFormat="1" applyFill="1" applyBorder="1" applyAlignment="1" applyProtection="1">
      <alignment horizontal="left" vertical="top" wrapText="1"/>
      <protection locked="0"/>
    </xf>
    <xf numFmtId="0" fontId="0" fillId="23" borderId="20" xfId="0" applyFill="1" applyBorder="1" applyAlignment="1" applyProtection="1">
      <alignment vertical="top" wrapText="1"/>
      <protection locked="0"/>
    </xf>
    <xf numFmtId="0" fontId="0" fillId="23" borderId="17" xfId="0" applyFill="1" applyBorder="1" applyAlignment="1" applyProtection="1">
      <alignment vertical="top" wrapText="1"/>
      <protection locked="0"/>
    </xf>
    <xf numFmtId="0" fontId="0" fillId="23" borderId="12" xfId="0" applyFill="1" applyBorder="1" applyAlignment="1" applyProtection="1">
      <alignment vertical="top" wrapText="1"/>
      <protection locked="0"/>
    </xf>
    <xf numFmtId="0" fontId="0" fillId="8" borderId="15" xfId="0" applyFill="1" applyBorder="1" applyAlignment="1">
      <alignment horizontal="left" vertical="center" wrapText="1"/>
    </xf>
    <xf numFmtId="0" fontId="0" fillId="8" borderId="23" xfId="0" applyFill="1" applyBorder="1" applyAlignment="1" applyProtection="1">
      <alignment horizontal="left" vertical="center" wrapText="1"/>
      <protection locked="0"/>
    </xf>
    <xf numFmtId="0" fontId="13" fillId="9" borderId="8" xfId="0" applyFont="1" applyFill="1" applyBorder="1" applyAlignment="1" applyProtection="1">
      <alignment horizontal="left" vertical="center" wrapText="1"/>
      <protection locked="0"/>
    </xf>
    <xf numFmtId="0" fontId="0" fillId="9" borderId="21" xfId="0" applyFill="1" applyBorder="1" applyAlignment="1" applyProtection="1">
      <alignment horizontal="left" vertical="center" wrapText="1"/>
      <protection locked="0"/>
    </xf>
    <xf numFmtId="0" fontId="0" fillId="9" borderId="16" xfId="0" applyFill="1" applyBorder="1" applyAlignment="1" applyProtection="1">
      <alignment horizontal="left" vertical="center" wrapText="1"/>
      <protection locked="0"/>
    </xf>
    <xf numFmtId="0" fontId="0" fillId="9" borderId="23" xfId="0" applyFill="1" applyBorder="1" applyAlignment="1" applyProtection="1">
      <alignment horizontal="left" vertical="center" wrapText="1"/>
      <protection locked="0"/>
    </xf>
    <xf numFmtId="0" fontId="0" fillId="9" borderId="14" xfId="0" applyFill="1" applyBorder="1" applyAlignment="1" applyProtection="1">
      <alignment horizontal="center" vertical="center" wrapText="1"/>
      <protection locked="0"/>
    </xf>
    <xf numFmtId="0" fontId="0" fillId="9" borderId="20" xfId="0" applyFill="1" applyBorder="1" applyAlignment="1" applyProtection="1">
      <alignment horizontal="left" vertical="center" wrapText="1"/>
      <protection locked="0"/>
    </xf>
    <xf numFmtId="0" fontId="0" fillId="9" borderId="15" xfId="0" applyFill="1" applyBorder="1" applyAlignment="1" applyProtection="1">
      <alignment horizontal="left" vertical="center" wrapText="1"/>
      <protection locked="0"/>
    </xf>
    <xf numFmtId="164" fontId="0" fillId="9" borderId="21" xfId="0" applyNumberFormat="1" applyFill="1" applyBorder="1" applyAlignment="1" applyProtection="1">
      <alignment horizontal="left" vertical="center" wrapText="1"/>
      <protection locked="0"/>
    </xf>
    <xf numFmtId="166" fontId="0" fillId="9" borderId="15" xfId="0" applyNumberFormat="1" applyFill="1" applyBorder="1" applyAlignment="1" applyProtection="1">
      <alignment horizontal="left" vertical="center" wrapText="1"/>
      <protection locked="0"/>
    </xf>
    <xf numFmtId="166" fontId="0" fillId="9" borderId="14" xfId="0" applyNumberFormat="1" applyFill="1" applyBorder="1" applyAlignment="1" applyProtection="1">
      <alignment horizontal="left" vertical="center" wrapText="1"/>
      <protection locked="0"/>
    </xf>
    <xf numFmtId="166" fontId="0" fillId="9" borderId="23" xfId="0" applyNumberFormat="1" applyFill="1" applyBorder="1" applyAlignment="1" applyProtection="1">
      <alignment horizontal="left" vertical="center" wrapText="1"/>
      <protection locked="0"/>
    </xf>
    <xf numFmtId="0" fontId="0" fillId="9" borderId="8" xfId="0" applyFill="1" applyBorder="1" applyAlignment="1" applyProtection="1">
      <alignment horizontal="left" vertical="center" wrapText="1"/>
      <protection locked="0"/>
    </xf>
    <xf numFmtId="0" fontId="0" fillId="9" borderId="9" xfId="0" applyFill="1" applyBorder="1" applyAlignment="1" applyProtection="1">
      <alignment horizontal="left" vertical="center" wrapText="1"/>
      <protection locked="0"/>
    </xf>
    <xf numFmtId="0" fontId="0" fillId="9" borderId="17" xfId="0" applyFill="1" applyBorder="1" applyAlignment="1" applyProtection="1">
      <alignment horizontal="left" vertical="center" wrapText="1"/>
      <protection locked="0"/>
    </xf>
    <xf numFmtId="0" fontId="0" fillId="9" borderId="13" xfId="0" applyFill="1" applyBorder="1" applyAlignment="1" applyProtection="1">
      <alignment horizontal="left" vertical="center" wrapText="1"/>
      <protection locked="0"/>
    </xf>
    <xf numFmtId="0" fontId="0" fillId="9" borderId="6" xfId="0" applyFill="1" applyBorder="1" applyAlignment="1" applyProtection="1">
      <alignment horizontal="left" vertical="center" wrapText="1"/>
      <protection locked="0"/>
    </xf>
    <xf numFmtId="0" fontId="2" fillId="9" borderId="6" xfId="1" applyFill="1" applyBorder="1" applyAlignment="1" applyProtection="1">
      <alignment horizontal="left" vertical="center" wrapText="1"/>
      <protection locked="0"/>
    </xf>
    <xf numFmtId="0" fontId="2" fillId="9" borderId="12" xfId="1" applyFill="1" applyBorder="1" applyAlignment="1" applyProtection="1">
      <alignment horizontal="left" vertical="center" wrapText="1"/>
      <protection locked="0"/>
    </xf>
    <xf numFmtId="0" fontId="0" fillId="2" borderId="9" xfId="0" applyFill="1" applyBorder="1" applyAlignment="1" applyProtection="1">
      <alignment horizontal="left" vertical="top" wrapText="1"/>
      <protection locked="0"/>
    </xf>
    <xf numFmtId="0" fontId="0" fillId="9" borderId="9" xfId="0" applyFill="1" applyBorder="1" applyAlignment="1" applyProtection="1">
      <alignment horizontal="center" vertical="center" wrapText="1"/>
      <protection locked="0"/>
    </xf>
    <xf numFmtId="0" fontId="0" fillId="9" borderId="8" xfId="0" applyFill="1" applyBorder="1" applyAlignment="1" applyProtection="1">
      <alignment horizontal="center" vertical="center" wrapText="1"/>
      <protection locked="0"/>
    </xf>
    <xf numFmtId="0" fontId="19" fillId="9" borderId="21" xfId="0" applyFont="1" applyFill="1" applyBorder="1" applyAlignment="1" applyProtection="1">
      <alignment horizontal="center" vertical="top" wrapText="1"/>
      <protection locked="0"/>
    </xf>
    <xf numFmtId="0" fontId="19" fillId="9" borderId="15" xfId="0" applyFont="1" applyFill="1" applyBorder="1" applyAlignment="1" applyProtection="1">
      <alignment horizontal="center" vertical="top" wrapText="1"/>
      <protection locked="0"/>
    </xf>
    <xf numFmtId="0" fontId="19" fillId="9" borderId="23" xfId="0" applyFont="1" applyFill="1" applyBorder="1" applyAlignment="1" applyProtection="1">
      <alignment horizontal="center" vertical="top" wrapText="1"/>
      <protection locked="0"/>
    </xf>
    <xf numFmtId="0" fontId="19" fillId="9" borderId="9" xfId="0" applyFont="1" applyFill="1" applyBorder="1" applyAlignment="1" applyProtection="1">
      <alignment horizontal="center" vertical="top" wrapText="1"/>
      <protection locked="0"/>
    </xf>
    <xf numFmtId="0" fontId="34" fillId="9" borderId="17" xfId="1" applyFont="1" applyFill="1" applyBorder="1" applyAlignment="1" applyProtection="1">
      <alignment horizontal="center" vertical="top" wrapText="1"/>
      <protection locked="0"/>
    </xf>
    <xf numFmtId="164" fontId="19" fillId="2" borderId="9" xfId="0" applyNumberFormat="1" applyFont="1" applyFill="1" applyBorder="1" applyAlignment="1" applyProtection="1">
      <alignment horizontal="center" vertical="top" wrapText="1"/>
      <protection locked="0"/>
    </xf>
    <xf numFmtId="166" fontId="19" fillId="9" borderId="16" xfId="0" applyNumberFormat="1" applyFont="1" applyFill="1" applyBorder="1" applyAlignment="1" applyProtection="1">
      <alignment horizontal="center" vertical="top" wrapText="1"/>
      <protection locked="0"/>
    </xf>
    <xf numFmtId="166" fontId="19" fillId="9" borderId="8" xfId="0" applyNumberFormat="1" applyFont="1" applyFill="1" applyBorder="1" applyAlignment="1" applyProtection="1">
      <alignment horizontal="center" vertical="top" wrapText="1"/>
      <protection locked="0"/>
    </xf>
    <xf numFmtId="20" fontId="13" fillId="9" borderId="16" xfId="0" applyNumberFormat="1" applyFont="1" applyFill="1" applyBorder="1" applyAlignment="1" applyProtection="1">
      <alignment horizontal="center" vertical="top" wrapText="1"/>
      <protection locked="0"/>
    </xf>
    <xf numFmtId="0" fontId="35" fillId="8" borderId="16" xfId="0" applyFont="1" applyFill="1" applyBorder="1" applyAlignment="1">
      <alignment horizontal="center" vertical="top" wrapText="1"/>
    </xf>
    <xf numFmtId="0" fontId="14" fillId="9" borderId="9" xfId="0" applyFont="1" applyFill="1" applyBorder="1" applyAlignment="1" applyProtection="1">
      <alignment horizontal="center" vertical="top" wrapText="1"/>
      <protection locked="0"/>
    </xf>
    <xf numFmtId="15" fontId="0" fillId="0" borderId="9" xfId="0" applyNumberFormat="1" applyBorder="1" applyAlignment="1" applyProtection="1">
      <alignment horizontal="center" vertical="top" wrapText="1"/>
      <protection locked="0"/>
    </xf>
    <xf numFmtId="166" fontId="0" fillId="0" borderId="16" xfId="0" applyNumberFormat="1" applyBorder="1" applyAlignment="1" applyProtection="1">
      <alignment horizontal="center" vertical="top" wrapText="1"/>
      <protection locked="0"/>
    </xf>
    <xf numFmtId="166" fontId="0" fillId="0" borderId="8" xfId="0" applyNumberFormat="1" applyBorder="1" applyAlignment="1" applyProtection="1">
      <alignment horizontal="center" vertical="top" wrapText="1"/>
      <protection locked="0"/>
    </xf>
    <xf numFmtId="167" fontId="0" fillId="0" borderId="12" xfId="0" applyNumberFormat="1" applyBorder="1" applyAlignment="1" applyProtection="1">
      <alignment horizontal="center" vertical="top" wrapText="1"/>
      <protection locked="0"/>
    </xf>
    <xf numFmtId="164" fontId="0" fillId="0" borderId="26" xfId="0" applyNumberFormat="1" applyBorder="1" applyAlignment="1" applyProtection="1">
      <alignment horizontal="center" vertical="top" wrapText="1"/>
      <protection locked="0"/>
    </xf>
    <xf numFmtId="0" fontId="0" fillId="2" borderId="37" xfId="0" applyFill="1" applyBorder="1" applyAlignment="1" applyProtection="1">
      <alignment vertical="top" wrapText="1"/>
      <protection locked="0"/>
    </xf>
    <xf numFmtId="0" fontId="8" fillId="8" borderId="12" xfId="0" applyFont="1" applyFill="1" applyBorder="1" applyAlignment="1" applyProtection="1">
      <alignment horizontal="center" vertical="top" wrapText="1"/>
      <protection locked="0"/>
    </xf>
    <xf numFmtId="0" fontId="0" fillId="9" borderId="47" xfId="0" applyFill="1" applyBorder="1" applyAlignment="1" applyProtection="1">
      <alignment vertical="top" wrapText="1"/>
      <protection locked="0"/>
    </xf>
    <xf numFmtId="0" fontId="0" fillId="9" borderId="49" xfId="0" applyFill="1" applyBorder="1" applyAlignment="1" applyProtection="1">
      <alignment horizontal="left" vertical="top" wrapText="1"/>
      <protection locked="0"/>
    </xf>
    <xf numFmtId="0" fontId="0" fillId="9" borderId="49" xfId="0" applyFill="1" applyBorder="1" applyAlignment="1" applyProtection="1">
      <alignment vertical="top" wrapText="1"/>
      <protection locked="0"/>
    </xf>
    <xf numFmtId="0" fontId="0" fillId="9" borderId="50" xfId="0" applyFill="1" applyBorder="1" applyAlignment="1" applyProtection="1">
      <alignment horizontal="center" vertical="top" wrapText="1"/>
      <protection locked="0"/>
    </xf>
    <xf numFmtId="0" fontId="0" fillId="9" borderId="49" xfId="0" applyFill="1" applyBorder="1" applyAlignment="1" applyProtection="1">
      <alignment horizontal="center" vertical="top" wrapText="1"/>
      <protection locked="0"/>
    </xf>
    <xf numFmtId="0" fontId="0" fillId="2" borderId="49" xfId="0" applyFill="1" applyBorder="1" applyAlignment="1" applyProtection="1">
      <alignment horizontal="center" vertical="top" wrapText="1"/>
      <protection locked="0"/>
    </xf>
    <xf numFmtId="166" fontId="0" fillId="9" borderId="47" xfId="0" applyNumberFormat="1" applyFill="1" applyBorder="1" applyAlignment="1" applyProtection="1">
      <alignment horizontal="center" vertical="top" wrapText="1"/>
      <protection locked="0"/>
    </xf>
    <xf numFmtId="166" fontId="0" fillId="9" borderId="49" xfId="0" applyNumberFormat="1" applyFill="1" applyBorder="1" applyAlignment="1" applyProtection="1">
      <alignment horizontal="center" vertical="top" wrapText="1"/>
      <protection locked="0"/>
    </xf>
    <xf numFmtId="0" fontId="8" fillId="9" borderId="28" xfId="0" applyFont="1" applyFill="1" applyBorder="1" applyAlignment="1" applyProtection="1">
      <alignment vertical="top" wrapText="1"/>
      <protection locked="0"/>
    </xf>
    <xf numFmtId="0" fontId="8" fillId="9" borderId="47" xfId="0" applyFont="1" applyFill="1" applyBorder="1" applyAlignment="1" applyProtection="1">
      <alignment vertical="top" wrapText="1"/>
      <protection locked="0"/>
    </xf>
    <xf numFmtId="0" fontId="0" fillId="2" borderId="51" xfId="0" applyFill="1" applyBorder="1" applyAlignment="1" applyProtection="1">
      <alignment vertical="top" wrapText="1"/>
      <protection locked="0"/>
    </xf>
    <xf numFmtId="20" fontId="0" fillId="9" borderId="49" xfId="0" applyNumberFormat="1" applyFill="1" applyBorder="1" applyAlignment="1" applyProtection="1">
      <alignment vertical="top" wrapText="1"/>
      <protection locked="0"/>
    </xf>
    <xf numFmtId="0" fontId="8" fillId="9" borderId="48" xfId="0" applyFont="1" applyFill="1" applyBorder="1" applyAlignment="1" applyProtection="1">
      <alignment vertical="top" wrapText="1"/>
      <protection locked="0"/>
    </xf>
    <xf numFmtId="0" fontId="8" fillId="9" borderId="49" xfId="0" applyFont="1" applyFill="1" applyBorder="1" applyAlignment="1" applyProtection="1">
      <alignment vertical="top" wrapText="1"/>
      <protection locked="0"/>
    </xf>
    <xf numFmtId="0" fontId="2" fillId="9" borderId="48" xfId="1" applyFill="1" applyBorder="1" applyAlignment="1" applyProtection="1">
      <alignment vertical="top" wrapText="1"/>
      <protection locked="0"/>
    </xf>
    <xf numFmtId="0" fontId="8" fillId="9" borderId="49" xfId="0" applyFont="1" applyFill="1" applyBorder="1" applyAlignment="1" applyProtection="1">
      <alignment horizontal="center" vertical="top" wrapText="1"/>
      <protection locked="0"/>
    </xf>
    <xf numFmtId="0" fontId="8" fillId="9" borderId="28" xfId="0" applyFont="1" applyFill="1" applyBorder="1" applyAlignment="1" applyProtection="1">
      <alignment horizontal="center" vertical="top" wrapText="1"/>
      <protection locked="0"/>
    </xf>
    <xf numFmtId="0" fontId="0" fillId="9" borderId="52" xfId="0" applyFill="1" applyBorder="1" applyAlignment="1" applyProtection="1">
      <alignment horizontal="center" vertical="top" wrapText="1"/>
      <protection locked="0"/>
    </xf>
    <xf numFmtId="0" fontId="0" fillId="9" borderId="47" xfId="0" applyFill="1" applyBorder="1" applyAlignment="1" applyProtection="1">
      <alignment horizontal="center" vertical="top" wrapText="1"/>
      <protection locked="0"/>
    </xf>
    <xf numFmtId="0" fontId="0" fillId="8" borderId="49" xfId="0" applyFill="1" applyBorder="1" applyAlignment="1">
      <alignment horizontal="center" vertical="top" wrapText="1"/>
    </xf>
    <xf numFmtId="0" fontId="0" fillId="8" borderId="49" xfId="0" applyFill="1" applyBorder="1" applyAlignment="1">
      <alignment vertical="top" wrapText="1"/>
    </xf>
    <xf numFmtId="0" fontId="0" fillId="8" borderId="47" xfId="0" applyFill="1" applyBorder="1" applyAlignment="1">
      <alignment horizontal="center" vertical="top" wrapText="1"/>
    </xf>
    <xf numFmtId="0" fontId="35" fillId="8" borderId="49" xfId="0" applyFont="1" applyFill="1" applyBorder="1" applyAlignment="1">
      <alignment horizontal="center" vertical="top" wrapText="1"/>
    </xf>
    <xf numFmtId="0" fontId="0" fillId="8" borderId="28" xfId="0" applyFill="1" applyBorder="1" applyAlignment="1" applyProtection="1">
      <alignment horizontal="center" vertical="top" wrapText="1"/>
      <protection locked="0"/>
    </xf>
    <xf numFmtId="164" fontId="0" fillId="9" borderId="47" xfId="0" applyNumberFormat="1" applyFill="1" applyBorder="1" applyAlignment="1" applyProtection="1">
      <alignment horizontal="center" vertical="top" wrapText="1"/>
      <protection locked="0"/>
    </xf>
    <xf numFmtId="166" fontId="0" fillId="9" borderId="53" xfId="0" applyNumberFormat="1" applyFill="1" applyBorder="1" applyAlignment="1" applyProtection="1">
      <alignment horizontal="center" vertical="top" wrapText="1"/>
      <protection locked="0"/>
    </xf>
    <xf numFmtId="166" fontId="0" fillId="9" borderId="54" xfId="0" applyNumberFormat="1" applyFill="1" applyBorder="1" applyAlignment="1" applyProtection="1">
      <alignment horizontal="center" vertical="top" wrapText="1"/>
      <protection locked="0"/>
    </xf>
    <xf numFmtId="164" fontId="0" fillId="0" borderId="42" xfId="0" applyNumberFormat="1" applyBorder="1" applyAlignment="1" applyProtection="1">
      <alignment horizontal="center" vertical="top" wrapText="1"/>
      <protection locked="0"/>
    </xf>
    <xf numFmtId="165" fontId="0" fillId="3" borderId="49" xfId="0" applyNumberFormat="1" applyFill="1" applyBorder="1" applyAlignment="1">
      <alignment horizontal="center" vertical="top" wrapText="1"/>
    </xf>
    <xf numFmtId="164" fontId="0" fillId="9" borderId="42" xfId="0" applyNumberFormat="1" applyFill="1" applyBorder="1" applyAlignment="1" applyProtection="1">
      <alignment horizontal="center" vertical="top" wrapText="1"/>
      <protection locked="0"/>
    </xf>
    <xf numFmtId="166" fontId="0" fillId="9" borderId="52" xfId="0" applyNumberFormat="1" applyFill="1" applyBorder="1" applyAlignment="1" applyProtection="1">
      <alignment horizontal="center" vertical="top" wrapText="1"/>
      <protection locked="0"/>
    </xf>
    <xf numFmtId="0" fontId="0" fillId="9" borderId="23" xfId="0" applyFill="1" applyBorder="1" applyAlignment="1" applyProtection="1">
      <alignment horizontal="left" vertical="top" wrapText="1"/>
      <protection locked="0"/>
    </xf>
    <xf numFmtId="0" fontId="0" fillId="9" borderId="48" xfId="0" applyFill="1" applyBorder="1" applyAlignment="1" applyProtection="1">
      <alignment vertical="top" wrapText="1"/>
      <protection locked="0"/>
    </xf>
    <xf numFmtId="0" fontId="0" fillId="9" borderId="55" xfId="0" applyFill="1" applyBorder="1" applyAlignment="1" applyProtection="1">
      <alignment horizontal="left" vertical="top" wrapText="1"/>
      <protection locked="0"/>
    </xf>
    <xf numFmtId="0" fontId="2" fillId="9" borderId="16" xfId="1" applyFill="1" applyBorder="1" applyAlignment="1" applyProtection="1">
      <alignment vertical="top" wrapText="1"/>
      <protection locked="0"/>
    </xf>
    <xf numFmtId="20" fontId="17" fillId="10" borderId="16" xfId="0" applyNumberFormat="1" applyFont="1" applyFill="1" applyBorder="1" applyAlignment="1">
      <alignment horizontal="center" vertical="top" wrapText="1"/>
    </xf>
    <xf numFmtId="20" fontId="17" fillId="10" borderId="8" xfId="0" applyNumberFormat="1" applyFont="1" applyFill="1" applyBorder="1" applyAlignment="1">
      <alignment horizontal="center" vertical="top" wrapText="1"/>
    </xf>
    <xf numFmtId="0" fontId="0" fillId="9" borderId="28" xfId="0" applyFill="1" applyBorder="1" applyAlignment="1" applyProtection="1">
      <alignment horizontal="center" vertical="top" wrapText="1"/>
      <protection locked="0"/>
    </xf>
    <xf numFmtId="0" fontId="0" fillId="9" borderId="20" xfId="0" applyFill="1" applyBorder="1" applyAlignment="1" applyProtection="1">
      <alignment horizontal="center" vertical="center" wrapText="1"/>
      <protection locked="0"/>
    </xf>
    <xf numFmtId="0" fontId="38" fillId="9" borderId="16" xfId="0" applyFont="1" applyFill="1" applyBorder="1" applyAlignment="1">
      <alignment horizontal="left" vertical="center" wrapText="1"/>
    </xf>
    <xf numFmtId="0" fontId="38" fillId="9" borderId="25" xfId="0" applyFont="1" applyFill="1" applyBorder="1" applyAlignment="1">
      <alignment horizontal="left" vertical="center" wrapText="1"/>
    </xf>
    <xf numFmtId="0" fontId="0" fillId="9" borderId="8" xfId="0" applyFill="1" applyBorder="1" applyAlignment="1">
      <alignment horizontal="center" vertical="top" wrapText="1"/>
    </xf>
    <xf numFmtId="0" fontId="0" fillId="9" borderId="16" xfId="0" applyFill="1" applyBorder="1" applyAlignment="1">
      <alignment horizontal="center" vertical="top" wrapText="1"/>
    </xf>
    <xf numFmtId="0" fontId="38" fillId="9" borderId="26" xfId="0" applyFont="1" applyFill="1" applyBorder="1" applyAlignment="1" applyProtection="1">
      <alignment horizontal="center" vertical="top" wrapText="1"/>
      <protection locked="0"/>
    </xf>
    <xf numFmtId="167" fontId="13" fillId="0" borderId="31" xfId="0" applyNumberFormat="1" applyFont="1" applyBorder="1" applyAlignment="1" applyProtection="1">
      <alignment horizontal="center" vertical="top" wrapText="1"/>
      <protection locked="0"/>
    </xf>
    <xf numFmtId="0" fontId="2" fillId="9" borderId="12" xfId="1" applyNumberFormat="1" applyFill="1" applyBorder="1" applyAlignment="1" applyProtection="1">
      <alignment vertical="top" wrapText="1"/>
      <protection locked="0"/>
    </xf>
    <xf numFmtId="0" fontId="38" fillId="9" borderId="42" xfId="0" applyFont="1" applyFill="1" applyBorder="1" applyAlignment="1" applyProtection="1">
      <alignment horizontal="center" vertical="top" wrapText="1"/>
      <protection locked="0"/>
    </xf>
    <xf numFmtId="0" fontId="38" fillId="9" borderId="28" xfId="0" applyFont="1" applyFill="1" applyBorder="1" applyAlignment="1" applyProtection="1">
      <alignment horizontal="center" vertical="top" wrapText="1"/>
      <protection locked="0"/>
    </xf>
    <xf numFmtId="0" fontId="38" fillId="9" borderId="47" xfId="0" applyFont="1" applyFill="1" applyBorder="1" applyAlignment="1" applyProtection="1">
      <alignment horizontal="center" vertical="top" wrapText="1"/>
      <protection locked="0"/>
    </xf>
    <xf numFmtId="0" fontId="38" fillId="9" borderId="49" xfId="0" applyFont="1" applyFill="1" applyBorder="1" applyAlignment="1" applyProtection="1">
      <alignment horizontal="center" vertical="top" wrapText="1"/>
      <protection locked="0"/>
    </xf>
    <xf numFmtId="0" fontId="0" fillId="3" borderId="49" xfId="0" applyFill="1" applyBorder="1" applyAlignment="1">
      <alignment horizontal="center" vertical="top" wrapText="1"/>
    </xf>
    <xf numFmtId="0" fontId="0" fillId="3" borderId="28" xfId="0" applyFill="1" applyBorder="1" applyAlignment="1" applyProtection="1">
      <alignment horizontal="center" vertical="top" wrapText="1"/>
      <protection locked="0"/>
    </xf>
    <xf numFmtId="0" fontId="0" fillId="3" borderId="53" xfId="0" applyFill="1" applyBorder="1" applyAlignment="1">
      <alignment horizontal="center" vertical="top" wrapText="1"/>
    </xf>
    <xf numFmtId="166" fontId="0" fillId="0" borderId="53" xfId="0" applyNumberFormat="1" applyBorder="1" applyAlignment="1" applyProtection="1">
      <alignment horizontal="center" vertical="top" wrapText="1"/>
      <protection locked="0"/>
    </xf>
    <xf numFmtId="167" fontId="13" fillId="0" borderId="54" xfId="0" applyNumberFormat="1" applyFont="1" applyBorder="1" applyAlignment="1" applyProtection="1">
      <alignment horizontal="center" vertical="top" wrapText="1"/>
      <protection locked="0"/>
    </xf>
    <xf numFmtId="164" fontId="0" fillId="9" borderId="56" xfId="0" applyNumberFormat="1" applyFill="1" applyBorder="1" applyAlignment="1" applyProtection="1">
      <alignment horizontal="center" vertical="top" wrapText="1"/>
      <protection locked="0"/>
    </xf>
    <xf numFmtId="166" fontId="0" fillId="9" borderId="48" xfId="0" applyNumberFormat="1" applyFill="1" applyBorder="1" applyAlignment="1" applyProtection="1">
      <alignment horizontal="center" vertical="top" wrapText="1"/>
      <protection locked="0"/>
    </xf>
    <xf numFmtId="0" fontId="0" fillId="9" borderId="51" xfId="0" applyFill="1" applyBorder="1" applyAlignment="1" applyProtection="1">
      <alignment vertical="top" wrapText="1"/>
      <protection locked="0"/>
    </xf>
    <xf numFmtId="0" fontId="2" fillId="9" borderId="28" xfId="1" applyNumberFormat="1" applyFill="1" applyBorder="1" applyAlignment="1" applyProtection="1">
      <alignment vertical="top" wrapText="1"/>
      <protection locked="0"/>
    </xf>
    <xf numFmtId="0" fontId="0" fillId="8" borderId="57" xfId="0" applyFill="1" applyBorder="1" applyAlignment="1" applyProtection="1">
      <alignment horizontal="center" vertical="top" wrapText="1"/>
      <protection locked="0"/>
    </xf>
    <xf numFmtId="0" fontId="0" fillId="8" borderId="49" xfId="0" applyFill="1" applyBorder="1" applyAlignment="1" applyProtection="1">
      <alignment horizontal="center" vertical="top" wrapText="1"/>
      <protection locked="0"/>
    </xf>
    <xf numFmtId="0" fontId="39" fillId="9" borderId="0" xfId="0" applyFont="1" applyFill="1" applyAlignment="1">
      <alignment vertical="center"/>
    </xf>
    <xf numFmtId="166" fontId="13" fillId="2" borderId="12" xfId="0" applyNumberFormat="1" applyFont="1" applyFill="1" applyBorder="1" applyAlignment="1" applyProtection="1">
      <alignment horizontal="center" vertical="top" wrapText="1"/>
      <protection locked="0"/>
    </xf>
    <xf numFmtId="0" fontId="38" fillId="9" borderId="12" xfId="0" applyFont="1" applyFill="1" applyBorder="1" applyAlignment="1" applyProtection="1">
      <alignment horizontal="left" vertical="top" wrapText="1"/>
      <protection locked="0"/>
    </xf>
    <xf numFmtId="0" fontId="38" fillId="9" borderId="9" xfId="0" applyFont="1" applyFill="1" applyBorder="1" applyAlignment="1" applyProtection="1">
      <alignment horizontal="left" vertical="top" wrapText="1"/>
      <protection locked="0"/>
    </xf>
    <xf numFmtId="0" fontId="38" fillId="9" borderId="28" xfId="0" applyFont="1" applyFill="1" applyBorder="1" applyAlignment="1" applyProtection="1">
      <alignment horizontal="left" vertical="top" wrapText="1"/>
      <protection locked="0"/>
    </xf>
    <xf numFmtId="0" fontId="38" fillId="9" borderId="47" xfId="0" applyFont="1" applyFill="1" applyBorder="1" applyAlignment="1" applyProtection="1">
      <alignment horizontal="left" vertical="top" wrapText="1"/>
      <protection locked="0"/>
    </xf>
    <xf numFmtId="0" fontId="0" fillId="9" borderId="58" xfId="0" applyFill="1" applyBorder="1" applyAlignment="1" applyProtection="1">
      <alignment horizontal="center" vertical="top" wrapText="1"/>
      <protection locked="0"/>
    </xf>
    <xf numFmtId="0" fontId="0" fillId="3" borderId="28" xfId="0" applyFill="1" applyBorder="1" applyAlignment="1">
      <alignment horizontal="center" vertical="top" wrapText="1"/>
    </xf>
    <xf numFmtId="167" fontId="0" fillId="0" borderId="54" xfId="0" applyNumberFormat="1" applyBorder="1" applyAlignment="1" applyProtection="1">
      <alignment horizontal="center" vertical="top" wrapText="1"/>
      <protection locked="0"/>
    </xf>
    <xf numFmtId="0" fontId="14" fillId="9" borderId="26" xfId="0" applyFont="1" applyFill="1" applyBorder="1" applyAlignment="1" applyProtection="1">
      <alignment horizontal="left" vertical="top" wrapText="1"/>
      <protection locked="0"/>
    </xf>
    <xf numFmtId="0" fontId="14" fillId="9" borderId="26" xfId="0" applyFont="1" applyFill="1" applyBorder="1" applyAlignment="1" applyProtection="1">
      <alignment vertical="top" wrapText="1"/>
      <protection locked="0"/>
    </xf>
    <xf numFmtId="0" fontId="14" fillId="9" borderId="16" xfId="0" applyFont="1" applyFill="1" applyBorder="1" applyAlignment="1" applyProtection="1">
      <alignment vertical="top" wrapText="1"/>
      <protection locked="0"/>
    </xf>
    <xf numFmtId="0" fontId="14" fillId="9" borderId="27" xfId="0" applyFont="1" applyFill="1" applyBorder="1" applyAlignment="1" applyProtection="1">
      <alignment vertical="top" wrapText="1"/>
      <protection locked="0"/>
    </xf>
    <xf numFmtId="0" fontId="14" fillId="9" borderId="32" xfId="0" applyFont="1" applyFill="1" applyBorder="1" applyAlignment="1" applyProtection="1">
      <alignment horizontal="center" vertical="top" wrapText="1"/>
      <protection locked="0"/>
    </xf>
    <xf numFmtId="0" fontId="14" fillId="9" borderId="16" xfId="0" applyFont="1" applyFill="1" applyBorder="1" applyAlignment="1" applyProtection="1">
      <alignment horizontal="left" vertical="top" wrapText="1"/>
      <protection locked="0"/>
    </xf>
    <xf numFmtId="0" fontId="14" fillId="9" borderId="16" xfId="0" applyFont="1" applyFill="1" applyBorder="1" applyAlignment="1" applyProtection="1">
      <alignment horizontal="center" vertical="top" wrapText="1"/>
      <protection locked="0"/>
    </xf>
    <xf numFmtId="0" fontId="14" fillId="9" borderId="12" xfId="0" applyFont="1" applyFill="1" applyBorder="1" applyAlignment="1" applyProtection="1">
      <alignment vertical="top" wrapText="1"/>
      <protection locked="0"/>
    </xf>
    <xf numFmtId="0" fontId="14" fillId="9" borderId="21" xfId="0" applyFont="1" applyFill="1" applyBorder="1" applyAlignment="1" applyProtection="1">
      <alignment vertical="top" wrapText="1"/>
      <protection locked="0"/>
    </xf>
    <xf numFmtId="0" fontId="14" fillId="9" borderId="21" xfId="0" applyFont="1" applyFill="1" applyBorder="1" applyAlignment="1" applyProtection="1">
      <alignment horizontal="center" vertical="top" wrapText="1"/>
      <protection locked="0"/>
    </xf>
    <xf numFmtId="0" fontId="14" fillId="9" borderId="15" xfId="0" applyFont="1" applyFill="1" applyBorder="1" applyAlignment="1" applyProtection="1">
      <alignment horizontal="left" vertical="top" wrapText="1"/>
      <protection locked="0"/>
    </xf>
    <xf numFmtId="0" fontId="14" fillId="9" borderId="15" xfId="0" applyFont="1" applyFill="1" applyBorder="1" applyAlignment="1" applyProtection="1">
      <alignment horizontal="center" vertical="top" wrapText="1"/>
      <protection locked="0"/>
    </xf>
    <xf numFmtId="0" fontId="14" fillId="9" borderId="23" xfId="0" applyFont="1" applyFill="1" applyBorder="1" applyAlignment="1" applyProtection="1">
      <alignment vertical="top" wrapText="1"/>
      <protection locked="0"/>
    </xf>
    <xf numFmtId="0" fontId="14" fillId="9" borderId="6" xfId="0" applyFont="1" applyFill="1" applyBorder="1" applyAlignment="1" applyProtection="1">
      <alignment horizontal="center" vertical="top" wrapText="1"/>
      <protection locked="0"/>
    </xf>
    <xf numFmtId="0" fontId="14" fillId="9" borderId="14" xfId="0" applyFont="1" applyFill="1" applyBorder="1" applyAlignment="1" applyProtection="1">
      <alignment horizontal="center" vertical="top" wrapText="1"/>
      <protection locked="0"/>
    </xf>
    <xf numFmtId="0" fontId="14" fillId="9" borderId="9" xfId="0" applyFont="1" applyFill="1" applyBorder="1" applyAlignment="1" applyProtection="1">
      <alignment vertical="top" wrapText="1"/>
      <protection locked="0"/>
    </xf>
    <xf numFmtId="0" fontId="14" fillId="9" borderId="17" xfId="0" applyFont="1" applyFill="1" applyBorder="1" applyAlignment="1" applyProtection="1">
      <alignment horizontal="center" vertical="top" wrapText="1"/>
      <protection locked="0"/>
    </xf>
    <xf numFmtId="0" fontId="14" fillId="9" borderId="8" xfId="0" applyFont="1" applyFill="1" applyBorder="1" applyAlignment="1" applyProtection="1">
      <alignment horizontal="center" vertical="top" wrapText="1"/>
      <protection locked="0"/>
    </xf>
    <xf numFmtId="0" fontId="14" fillId="13" borderId="16" xfId="0" applyFont="1" applyFill="1" applyBorder="1" applyAlignment="1" applyProtection="1">
      <alignment vertical="top" wrapText="1"/>
      <protection locked="0"/>
    </xf>
    <xf numFmtId="0" fontId="14" fillId="9" borderId="8" xfId="0" applyFont="1" applyFill="1" applyBorder="1" applyAlignment="1" applyProtection="1">
      <alignment vertical="top" wrapText="1"/>
      <protection locked="0"/>
    </xf>
    <xf numFmtId="0" fontId="14" fillId="16" borderId="26" xfId="0" applyFont="1" applyFill="1" applyBorder="1" applyAlignment="1" applyProtection="1">
      <alignment vertical="top" wrapText="1"/>
      <protection locked="0"/>
    </xf>
    <xf numFmtId="0" fontId="14" fillId="16" borderId="26" xfId="0" applyFont="1" applyFill="1" applyBorder="1" applyAlignment="1" applyProtection="1">
      <alignment horizontal="left" vertical="top" wrapText="1"/>
      <protection locked="0"/>
    </xf>
    <xf numFmtId="0" fontId="14" fillId="16" borderId="9" xfId="0" applyFont="1" applyFill="1" applyBorder="1" applyAlignment="1" applyProtection="1">
      <alignment vertical="top" wrapText="1"/>
      <protection locked="0"/>
    </xf>
    <xf numFmtId="0" fontId="14" fillId="16" borderId="12" xfId="0" applyFont="1" applyFill="1" applyBorder="1" applyAlignment="1" applyProtection="1">
      <alignment vertical="top" wrapText="1"/>
      <protection locked="0"/>
    </xf>
    <xf numFmtId="0" fontId="14" fillId="9" borderId="20" xfId="0" applyFont="1" applyFill="1" applyBorder="1" applyAlignment="1" applyProtection="1">
      <alignment vertical="top" wrapText="1"/>
      <protection locked="0"/>
    </xf>
    <xf numFmtId="0" fontId="14" fillId="19" borderId="9" xfId="0" applyFont="1" applyFill="1" applyBorder="1" applyAlignment="1" applyProtection="1">
      <alignment vertical="top" wrapText="1"/>
      <protection locked="0"/>
    </xf>
    <xf numFmtId="0" fontId="14" fillId="19" borderId="26" xfId="0" applyFont="1" applyFill="1" applyBorder="1" applyAlignment="1" applyProtection="1">
      <alignment horizontal="left" vertical="top" wrapText="1"/>
      <protection locked="0"/>
    </xf>
    <xf numFmtId="0" fontId="14" fillId="19" borderId="16" xfId="0" applyFont="1" applyFill="1" applyBorder="1" applyAlignment="1" applyProtection="1">
      <alignment vertical="top" wrapText="1"/>
      <protection locked="0"/>
    </xf>
    <xf numFmtId="0" fontId="14" fillId="19" borderId="8" xfId="0" applyFont="1" applyFill="1" applyBorder="1" applyAlignment="1" applyProtection="1">
      <alignment vertical="top" wrapText="1"/>
      <protection locked="0"/>
    </xf>
    <xf numFmtId="0" fontId="14" fillId="19" borderId="20" xfId="0" applyFont="1" applyFill="1" applyBorder="1" applyAlignment="1" applyProtection="1">
      <alignment vertical="top" wrapText="1"/>
      <protection locked="0"/>
    </xf>
    <xf numFmtId="0" fontId="14" fillId="19" borderId="12" xfId="0" applyFont="1" applyFill="1" applyBorder="1" applyAlignment="1" applyProtection="1">
      <alignment vertical="top" wrapText="1"/>
      <protection locked="0"/>
    </xf>
    <xf numFmtId="0" fontId="14" fillId="19" borderId="47" xfId="0" applyFont="1" applyFill="1" applyBorder="1" applyAlignment="1" applyProtection="1">
      <alignment vertical="top" wrapText="1"/>
      <protection locked="0"/>
    </xf>
    <xf numFmtId="0" fontId="14" fillId="19" borderId="49" xfId="0" applyFont="1" applyFill="1" applyBorder="1" applyAlignment="1" applyProtection="1">
      <alignment vertical="top" wrapText="1"/>
      <protection locked="0"/>
    </xf>
    <xf numFmtId="0" fontId="14" fillId="19" borderId="20" xfId="0" applyFont="1" applyFill="1" applyBorder="1" applyAlignment="1" applyProtection="1">
      <alignment horizontal="center" vertical="top" wrapText="1"/>
      <protection locked="0"/>
    </xf>
    <xf numFmtId="0" fontId="14" fillId="19" borderId="8" xfId="0" applyFont="1" applyFill="1" applyBorder="1" applyAlignment="1" applyProtection="1">
      <alignment horizontal="center" vertical="top" wrapText="1"/>
      <protection locked="0"/>
    </xf>
    <xf numFmtId="0" fontId="14" fillId="9" borderId="20" xfId="0" applyFont="1" applyFill="1" applyBorder="1" applyAlignment="1" applyProtection="1">
      <alignment horizontal="left" vertical="top" wrapText="1"/>
      <protection locked="0"/>
    </xf>
    <xf numFmtId="0" fontId="14" fillId="9" borderId="27" xfId="0" applyFont="1" applyFill="1" applyBorder="1" applyAlignment="1" applyProtection="1">
      <alignment horizontal="center" vertical="top" wrapText="1"/>
      <protection locked="0"/>
    </xf>
    <xf numFmtId="0" fontId="14" fillId="3" borderId="8" xfId="0" applyFont="1" applyFill="1" applyBorder="1" applyAlignment="1">
      <alignment horizontal="center" vertical="top" wrapText="1"/>
    </xf>
    <xf numFmtId="164" fontId="14" fillId="9" borderId="9" xfId="0" applyNumberFormat="1" applyFont="1" applyFill="1" applyBorder="1" applyAlignment="1" applyProtection="1">
      <alignment horizontal="center" vertical="top" wrapText="1"/>
      <protection locked="0"/>
    </xf>
    <xf numFmtId="165" fontId="14" fillId="3" borderId="16" xfId="0" applyNumberFormat="1" applyFont="1" applyFill="1" applyBorder="1" applyAlignment="1">
      <alignment horizontal="center" vertical="top" wrapText="1"/>
    </xf>
    <xf numFmtId="166" fontId="14" fillId="9" borderId="16" xfId="0" applyNumberFormat="1" applyFont="1" applyFill="1" applyBorder="1" applyAlignment="1" applyProtection="1">
      <alignment horizontal="center" vertical="top" wrapText="1"/>
      <protection locked="0"/>
    </xf>
    <xf numFmtId="166" fontId="14" fillId="9" borderId="8" xfId="0" applyNumberFormat="1" applyFont="1" applyFill="1" applyBorder="1" applyAlignment="1" applyProtection="1">
      <alignment horizontal="center" vertical="top" wrapText="1"/>
      <protection locked="0"/>
    </xf>
    <xf numFmtId="166" fontId="14" fillId="9" borderId="12" xfId="0" applyNumberFormat="1" applyFont="1" applyFill="1" applyBorder="1" applyAlignment="1" applyProtection="1">
      <alignment horizontal="center" vertical="top" wrapText="1"/>
      <protection locked="0"/>
    </xf>
    <xf numFmtId="164" fontId="14" fillId="9" borderId="20" xfId="0" applyNumberFormat="1" applyFont="1" applyFill="1" applyBorder="1" applyAlignment="1" applyProtection="1">
      <alignment horizontal="center" vertical="top" wrapText="1"/>
      <protection locked="0"/>
    </xf>
    <xf numFmtId="0" fontId="14" fillId="9" borderId="17" xfId="0" applyFont="1" applyFill="1" applyBorder="1" applyAlignment="1" applyProtection="1">
      <alignment vertical="top" wrapText="1"/>
      <protection locked="0"/>
    </xf>
    <xf numFmtId="0" fontId="14" fillId="8" borderId="16" xfId="0" applyFont="1" applyFill="1" applyBorder="1" applyAlignment="1">
      <alignment horizontal="center" vertical="top" wrapText="1"/>
    </xf>
    <xf numFmtId="0" fontId="14" fillId="8" borderId="16" xfId="0" applyFont="1" applyFill="1" applyBorder="1" applyAlignment="1">
      <alignment vertical="top" wrapText="1"/>
    </xf>
    <xf numFmtId="0" fontId="13" fillId="2" borderId="20" xfId="0" applyFont="1" applyFill="1" applyBorder="1" applyAlignment="1" applyProtection="1">
      <alignment horizontal="center" vertical="top" wrapText="1"/>
      <protection locked="0"/>
    </xf>
    <xf numFmtId="0" fontId="13" fillId="2" borderId="8" xfId="0" applyFont="1" applyFill="1" applyBorder="1" applyAlignment="1" applyProtection="1">
      <alignment vertical="top" wrapText="1"/>
      <protection locked="0"/>
    </xf>
    <xf numFmtId="164" fontId="0" fillId="9" borderId="48" xfId="0" applyNumberFormat="1" applyFill="1" applyBorder="1" applyAlignment="1" applyProtection="1">
      <alignment horizontal="center" vertical="top" wrapText="1"/>
      <protection locked="0"/>
    </xf>
    <xf numFmtId="0" fontId="0" fillId="9" borderId="21" xfId="0" applyFill="1" applyBorder="1" applyAlignment="1" applyProtection="1">
      <alignment horizontal="left" vertical="top" wrapText="1"/>
      <protection locked="0"/>
    </xf>
    <xf numFmtId="166" fontId="13" fillId="9" borderId="14" xfId="0" applyNumberFormat="1" applyFont="1" applyFill="1" applyBorder="1" applyAlignment="1" applyProtection="1">
      <alignment horizontal="center" vertical="top" wrapText="1"/>
      <protection locked="0"/>
    </xf>
    <xf numFmtId="164" fontId="0" fillId="9" borderId="16" xfId="0" applyNumberFormat="1" applyFill="1" applyBorder="1" applyAlignment="1" applyProtection="1">
      <alignment horizontal="center" vertical="top" wrapText="1"/>
      <protection locked="0"/>
    </xf>
    <xf numFmtId="164" fontId="13" fillId="9" borderId="21" xfId="0" applyNumberFormat="1" applyFont="1" applyFill="1" applyBorder="1" applyAlignment="1" applyProtection="1">
      <alignment horizontal="center" vertical="top" wrapText="1"/>
      <protection locked="0"/>
    </xf>
    <xf numFmtId="0" fontId="0" fillId="20" borderId="12" xfId="0" applyFill="1" applyBorder="1" applyAlignment="1">
      <alignment horizontal="center" vertical="center" wrapText="1"/>
    </xf>
    <xf numFmtId="0" fontId="13" fillId="9" borderId="20" xfId="0" applyFont="1" applyFill="1" applyBorder="1" applyAlignment="1" applyProtection="1">
      <alignment horizontal="left" vertical="top" wrapText="1"/>
      <protection locked="0"/>
    </xf>
    <xf numFmtId="166" fontId="17" fillId="9" borderId="8" xfId="0" applyNumberFormat="1" applyFont="1" applyFill="1" applyBorder="1" applyAlignment="1" applyProtection="1">
      <alignment horizontal="center" vertical="top" wrapText="1"/>
      <protection locked="0"/>
    </xf>
    <xf numFmtId="0" fontId="13" fillId="9" borderId="9" xfId="0" applyFont="1" applyFill="1" applyBorder="1" applyAlignment="1" applyProtection="1">
      <alignment horizontal="left" vertical="top" wrapText="1"/>
      <protection locked="0"/>
    </xf>
    <xf numFmtId="0" fontId="19" fillId="9" borderId="16" xfId="0" applyFont="1" applyFill="1" applyBorder="1" applyAlignment="1" applyProtection="1">
      <alignment horizontal="left" vertical="top" wrapText="1"/>
      <protection locked="0"/>
    </xf>
    <xf numFmtId="166" fontId="13" fillId="9" borderId="23" xfId="0" applyNumberFormat="1" applyFont="1" applyFill="1" applyBorder="1" applyAlignment="1" applyProtection="1">
      <alignment horizontal="center" vertical="top" wrapText="1"/>
      <protection locked="0"/>
    </xf>
    <xf numFmtId="0" fontId="38" fillId="9" borderId="60" xfId="0" applyFont="1" applyFill="1" applyBorder="1" applyAlignment="1">
      <alignment horizontal="left" vertical="center" wrapText="1"/>
    </xf>
    <xf numFmtId="0" fontId="0" fillId="9" borderId="25" xfId="0" applyFill="1" applyBorder="1" applyAlignment="1" applyProtection="1">
      <alignment horizontal="center" vertical="center" wrapText="1"/>
      <protection locked="0"/>
    </xf>
    <xf numFmtId="0" fontId="0" fillId="9" borderId="61" xfId="0" applyFill="1" applyBorder="1" applyAlignment="1" applyProtection="1">
      <alignment horizontal="center" vertical="center" wrapText="1"/>
      <protection locked="0"/>
    </xf>
    <xf numFmtId="0" fontId="38" fillId="9" borderId="20" xfId="0" applyFont="1" applyFill="1" applyBorder="1" applyAlignment="1">
      <alignment horizontal="left" vertical="center" wrapText="1"/>
    </xf>
    <xf numFmtId="0" fontId="2" fillId="9" borderId="15" xfId="1" applyFill="1" applyBorder="1" applyAlignment="1" applyProtection="1">
      <alignment vertical="top" wrapText="1"/>
      <protection locked="0"/>
    </xf>
    <xf numFmtId="0" fontId="40" fillId="24" borderId="62" xfId="0" applyFont="1" applyFill="1" applyBorder="1" applyAlignment="1">
      <alignment vertical="top" wrapText="1"/>
    </xf>
    <xf numFmtId="0" fontId="40" fillId="24" borderId="25" xfId="0" applyFont="1" applyFill="1" applyBorder="1" applyAlignment="1">
      <alignment horizontal="center" vertical="top" wrapText="1"/>
    </xf>
    <xf numFmtId="0" fontId="40" fillId="24" borderId="25" xfId="0" applyFont="1" applyFill="1" applyBorder="1" applyAlignment="1">
      <alignment vertical="top" wrapText="1"/>
    </xf>
    <xf numFmtId="0" fontId="40" fillId="24" borderId="63" xfId="0" applyFont="1" applyFill="1" applyBorder="1" applyAlignment="1">
      <alignment vertical="top" wrapText="1"/>
    </xf>
    <xf numFmtId="0" fontId="40" fillId="24" borderId="25" xfId="0" applyFont="1" applyFill="1" applyBorder="1" applyAlignment="1">
      <alignment horizontal="left" vertical="top" wrapText="1"/>
    </xf>
    <xf numFmtId="0" fontId="40" fillId="24" borderId="61" xfId="0" applyFont="1" applyFill="1" applyBorder="1" applyAlignment="1">
      <alignment vertical="top" wrapText="1"/>
    </xf>
    <xf numFmtId="0" fontId="2" fillId="24" borderId="64" xfId="1" applyFill="1" applyBorder="1" applyAlignment="1">
      <alignment vertical="top" wrapText="1"/>
    </xf>
    <xf numFmtId="0" fontId="2" fillId="24" borderId="63" xfId="1" applyFill="1" applyBorder="1" applyAlignment="1">
      <alignment vertical="top" wrapText="1"/>
    </xf>
    <xf numFmtId="0" fontId="40" fillId="24" borderId="65" xfId="0" applyFont="1" applyFill="1" applyBorder="1" applyAlignment="1">
      <alignment vertical="top" wrapText="1"/>
    </xf>
    <xf numFmtId="0" fontId="40" fillId="24" borderId="25" xfId="0" quotePrefix="1" applyFont="1" applyFill="1" applyBorder="1" applyAlignment="1">
      <alignment horizontal="center" vertical="top" wrapText="1"/>
    </xf>
    <xf numFmtId="0" fontId="40" fillId="24" borderId="66" xfId="0" applyFont="1" applyFill="1" applyBorder="1" applyAlignment="1">
      <alignment vertical="top" wrapText="1"/>
    </xf>
    <xf numFmtId="0" fontId="2" fillId="24" borderId="59" xfId="1" applyFill="1" applyBorder="1" applyAlignment="1">
      <alignment vertical="top" wrapText="1"/>
    </xf>
    <xf numFmtId="0" fontId="40" fillId="24" borderId="67" xfId="0" applyFont="1" applyFill="1" applyBorder="1" applyAlignment="1">
      <alignment horizontal="left" vertical="top" wrapText="1"/>
    </xf>
    <xf numFmtId="0" fontId="40" fillId="24" borderId="67" xfId="0" applyFont="1" applyFill="1" applyBorder="1" applyAlignment="1">
      <alignment horizontal="center" vertical="top" wrapText="1"/>
    </xf>
    <xf numFmtId="167" fontId="0" fillId="0" borderId="31" xfId="0" applyNumberFormat="1" applyBorder="1" applyAlignment="1" applyProtection="1">
      <alignment horizontal="center" vertical="top" wrapText="1"/>
      <protection locked="0"/>
    </xf>
    <xf numFmtId="0" fontId="0" fillId="8" borderId="68" xfId="0" applyFill="1" applyBorder="1" applyAlignment="1">
      <alignment vertical="top" wrapText="1"/>
    </xf>
    <xf numFmtId="0" fontId="0" fillId="8" borderId="0" xfId="0" applyFill="1" applyAlignment="1">
      <alignment vertical="top" wrapText="1"/>
    </xf>
    <xf numFmtId="0" fontId="13" fillId="9" borderId="28" xfId="0" applyFont="1" applyFill="1" applyBorder="1" applyAlignment="1" applyProtection="1">
      <alignment horizontal="center" vertical="top" wrapText="1"/>
      <protection locked="0"/>
    </xf>
    <xf numFmtId="0" fontId="17" fillId="9" borderId="12" xfId="0" applyFont="1" applyFill="1" applyBorder="1" applyAlignment="1" applyProtection="1">
      <alignment horizontal="center" vertical="top" wrapText="1"/>
      <protection locked="0"/>
    </xf>
    <xf numFmtId="0" fontId="17" fillId="9" borderId="16" xfId="0" applyFont="1" applyFill="1" applyBorder="1" applyAlignment="1" applyProtection="1">
      <alignment horizontal="center" vertical="top" wrapText="1"/>
      <protection locked="0"/>
    </xf>
    <xf numFmtId="0" fontId="17" fillId="3" borderId="8" xfId="0" applyFont="1" applyFill="1" applyBorder="1" applyAlignment="1">
      <alignment horizontal="center" vertical="top" wrapText="1"/>
    </xf>
    <xf numFmtId="165" fontId="17" fillId="3" borderId="16" xfId="0" applyNumberFormat="1" applyFont="1" applyFill="1" applyBorder="1" applyAlignment="1">
      <alignment horizontal="center" vertical="top" wrapText="1"/>
    </xf>
    <xf numFmtId="166" fontId="17" fillId="9" borderId="16" xfId="0" applyNumberFormat="1" applyFont="1" applyFill="1" applyBorder="1" applyAlignment="1" applyProtection="1">
      <alignment horizontal="center" vertical="top" wrapText="1"/>
      <protection locked="0"/>
    </xf>
    <xf numFmtId="0" fontId="17" fillId="9" borderId="9" xfId="0" applyFont="1" applyFill="1" applyBorder="1" applyAlignment="1" applyProtection="1">
      <alignment vertical="top" wrapText="1"/>
      <protection locked="0"/>
    </xf>
    <xf numFmtId="0" fontId="17" fillId="9" borderId="9" xfId="0" applyFont="1" applyFill="1" applyBorder="1" applyAlignment="1" applyProtection="1">
      <alignment horizontal="center" vertical="top" wrapText="1"/>
      <protection locked="0"/>
    </xf>
    <xf numFmtId="0" fontId="17" fillId="8" borderId="16" xfId="0" applyFont="1" applyFill="1" applyBorder="1" applyAlignment="1">
      <alignment horizontal="center" vertical="top" wrapText="1"/>
    </xf>
    <xf numFmtId="0" fontId="17" fillId="8" borderId="12" xfId="0" applyFont="1" applyFill="1" applyBorder="1" applyAlignment="1" applyProtection="1">
      <alignment horizontal="center" vertical="top" wrapText="1"/>
      <protection locked="0"/>
    </xf>
    <xf numFmtId="0" fontId="17" fillId="9" borderId="26" xfId="0" applyFont="1" applyFill="1" applyBorder="1" applyAlignment="1" applyProtection="1">
      <alignment horizontal="center" vertical="top" wrapText="1"/>
      <protection locked="0"/>
    </xf>
    <xf numFmtId="0" fontId="17" fillId="9" borderId="16" xfId="0" applyFont="1" applyFill="1" applyBorder="1" applyAlignment="1" applyProtection="1">
      <alignment vertical="top" wrapText="1"/>
      <protection locked="0"/>
    </xf>
    <xf numFmtId="0" fontId="17" fillId="9" borderId="43" xfId="0" applyFont="1" applyFill="1" applyBorder="1" applyAlignment="1" applyProtection="1">
      <alignment horizontal="center" vertical="top" wrapText="1"/>
      <protection locked="0"/>
    </xf>
    <xf numFmtId="0" fontId="17" fillId="9" borderId="27" xfId="0" applyFont="1" applyFill="1" applyBorder="1" applyAlignment="1" applyProtection="1">
      <alignment horizontal="center" vertical="top" wrapText="1"/>
      <protection locked="0"/>
    </xf>
    <xf numFmtId="166" fontId="17" fillId="0" borderId="8" xfId="0" applyNumberFormat="1" applyFont="1" applyBorder="1" applyAlignment="1" applyProtection="1">
      <alignment horizontal="center" vertical="top" wrapText="1"/>
      <protection locked="0"/>
    </xf>
    <xf numFmtId="167" fontId="17" fillId="0" borderId="31" xfId="0" applyNumberFormat="1" applyFont="1" applyBorder="1" applyAlignment="1" applyProtection="1">
      <alignment horizontal="center" vertical="top" wrapText="1"/>
      <protection locked="0"/>
    </xf>
    <xf numFmtId="164" fontId="17" fillId="0" borderId="26" xfId="0" applyNumberFormat="1" applyFont="1" applyBorder="1" applyAlignment="1" applyProtection="1">
      <alignment horizontal="center" vertical="top" wrapText="1"/>
      <protection locked="0"/>
    </xf>
    <xf numFmtId="166" fontId="17" fillId="9" borderId="31" xfId="0" applyNumberFormat="1" applyFont="1" applyFill="1" applyBorder="1" applyAlignment="1" applyProtection="1">
      <alignment horizontal="center" vertical="top" wrapText="1"/>
      <protection locked="0"/>
    </xf>
    <xf numFmtId="164" fontId="17" fillId="9" borderId="9" xfId="0" applyNumberFormat="1" applyFont="1" applyFill="1" applyBorder="1" applyAlignment="1" applyProtection="1">
      <alignment horizontal="center" vertical="top" wrapText="1"/>
      <protection locked="0"/>
    </xf>
    <xf numFmtId="164" fontId="17" fillId="9" borderId="26" xfId="0" applyNumberFormat="1" applyFont="1" applyFill="1" applyBorder="1" applyAlignment="1" applyProtection="1">
      <alignment horizontal="center" vertical="top" wrapText="1"/>
      <protection locked="0"/>
    </xf>
    <xf numFmtId="166" fontId="17" fillId="9" borderId="27" xfId="0" applyNumberFormat="1" applyFont="1" applyFill="1" applyBorder="1" applyAlignment="1" applyProtection="1">
      <alignment horizontal="center" vertical="top" wrapText="1"/>
      <protection locked="0"/>
    </xf>
    <xf numFmtId="0" fontId="17" fillId="9" borderId="16" xfId="0" applyFont="1" applyFill="1" applyBorder="1" applyAlignment="1" applyProtection="1">
      <alignment horizontal="left" vertical="top" wrapText="1"/>
      <protection locked="0"/>
    </xf>
    <xf numFmtId="0" fontId="17" fillId="9" borderId="37" xfId="0" applyFont="1" applyFill="1" applyBorder="1" applyAlignment="1" applyProtection="1">
      <alignment vertical="top" wrapText="1"/>
      <protection locked="0"/>
    </xf>
    <xf numFmtId="0" fontId="17" fillId="9" borderId="20" xfId="0" applyFont="1" applyFill="1" applyBorder="1" applyAlignment="1" applyProtection="1">
      <alignment vertical="top" wrapText="1"/>
      <protection locked="0"/>
    </xf>
    <xf numFmtId="0" fontId="40" fillId="9" borderId="9" xfId="0" applyFont="1" applyFill="1" applyBorder="1" applyAlignment="1" applyProtection="1">
      <alignment vertical="top" wrapText="1"/>
      <protection locked="0"/>
    </xf>
    <xf numFmtId="0" fontId="41" fillId="9" borderId="20" xfId="1" applyFont="1" applyFill="1" applyBorder="1" applyAlignment="1" applyProtection="1">
      <alignment vertical="top" wrapText="1"/>
      <protection locked="0"/>
    </xf>
    <xf numFmtId="0" fontId="40" fillId="9" borderId="16" xfId="0" applyFont="1" applyFill="1" applyBorder="1" applyAlignment="1" applyProtection="1">
      <alignment vertical="top" wrapText="1"/>
      <protection locked="0"/>
    </xf>
    <xf numFmtId="0" fontId="41" fillId="9" borderId="12" xfId="1" applyNumberFormat="1" applyFont="1" applyFill="1" applyBorder="1" applyAlignment="1" applyProtection="1">
      <alignment vertical="top" wrapText="1"/>
      <protection locked="0"/>
    </xf>
    <xf numFmtId="0" fontId="17" fillId="8" borderId="16" xfId="0" applyFont="1" applyFill="1" applyBorder="1" applyAlignment="1">
      <alignment vertical="top" wrapText="1"/>
    </xf>
    <xf numFmtId="0" fontId="40" fillId="9" borderId="47" xfId="0" applyFont="1" applyFill="1" applyBorder="1" applyAlignment="1" applyProtection="1">
      <alignment vertical="top" wrapText="1"/>
      <protection locked="0"/>
    </xf>
    <xf numFmtId="0" fontId="40" fillId="9" borderId="49" xfId="0" applyFont="1" applyFill="1" applyBorder="1" applyAlignment="1" applyProtection="1">
      <alignment vertical="top" wrapText="1"/>
      <protection locked="0"/>
    </xf>
    <xf numFmtId="0" fontId="42" fillId="0" borderId="12" xfId="0" applyFont="1" applyBorder="1" applyAlignment="1">
      <alignment horizontal="center" vertical="center" wrapText="1"/>
    </xf>
    <xf numFmtId="0" fontId="0" fillId="16" borderId="12" xfId="0" applyFill="1" applyBorder="1" applyAlignment="1" applyProtection="1">
      <alignment vertical="top" wrapText="1"/>
      <protection locked="0"/>
    </xf>
    <xf numFmtId="20" fontId="0" fillId="16" borderId="16" xfId="0" applyNumberFormat="1" applyFill="1" applyBorder="1" applyAlignment="1" applyProtection="1">
      <alignment horizontal="right" vertical="top" wrapText="1"/>
      <protection locked="0"/>
    </xf>
    <xf numFmtId="0" fontId="0" fillId="9" borderId="15" xfId="0" applyFill="1" applyBorder="1" applyAlignment="1" applyProtection="1">
      <alignment horizontal="right" vertical="top" wrapText="1"/>
      <protection locked="0"/>
    </xf>
    <xf numFmtId="0" fontId="0" fillId="9" borderId="49" xfId="0" applyFill="1" applyBorder="1" applyAlignment="1" applyProtection="1">
      <alignment horizontal="right" vertical="top" wrapText="1"/>
      <protection locked="0"/>
    </xf>
    <xf numFmtId="0" fontId="17" fillId="9" borderId="42" xfId="0" applyFont="1" applyFill="1" applyBorder="1" applyAlignment="1" applyProtection="1">
      <alignment horizontal="center" vertical="top" wrapText="1"/>
      <protection locked="0"/>
    </xf>
    <xf numFmtId="0" fontId="17" fillId="9" borderId="49" xfId="0" applyFont="1" applyFill="1" applyBorder="1" applyAlignment="1" applyProtection="1">
      <alignment horizontal="center" vertical="top" wrapText="1"/>
      <protection locked="0"/>
    </xf>
    <xf numFmtId="167" fontId="17" fillId="0" borderId="54" xfId="0" applyNumberFormat="1" applyFont="1" applyBorder="1" applyAlignment="1" applyProtection="1">
      <alignment horizontal="center" vertical="top" wrapText="1"/>
      <protection locked="0"/>
    </xf>
    <xf numFmtId="0" fontId="17" fillId="9" borderId="47" xfId="0" applyFont="1" applyFill="1" applyBorder="1" applyAlignment="1" applyProtection="1">
      <alignment horizontal="center" vertical="top" wrapText="1"/>
      <protection locked="0"/>
    </xf>
    <xf numFmtId="0" fontId="17" fillId="9" borderId="28" xfId="0" applyFont="1" applyFill="1" applyBorder="1" applyAlignment="1" applyProtection="1">
      <alignment vertical="top" wrapText="1"/>
      <protection locked="0"/>
    </xf>
    <xf numFmtId="0" fontId="17" fillId="9" borderId="47" xfId="0" applyFont="1" applyFill="1" applyBorder="1" applyAlignment="1" applyProtection="1">
      <alignment vertical="top" wrapText="1"/>
      <protection locked="0"/>
    </xf>
    <xf numFmtId="0" fontId="17" fillId="9" borderId="49" xfId="0" applyFont="1" applyFill="1" applyBorder="1" applyAlignment="1" applyProtection="1">
      <alignment vertical="top" wrapText="1"/>
      <protection locked="0"/>
    </xf>
    <xf numFmtId="0" fontId="0" fillId="2" borderId="8" xfId="0" applyFill="1" applyBorder="1" applyAlignment="1" applyProtection="1">
      <alignment vertical="top" wrapText="1"/>
      <protection locked="0"/>
    </xf>
    <xf numFmtId="20" fontId="0" fillId="2" borderId="16" xfId="0" applyNumberFormat="1" applyFill="1" applyBorder="1" applyAlignment="1" applyProtection="1">
      <alignment vertical="top" wrapText="1"/>
      <protection locked="0"/>
    </xf>
    <xf numFmtId="0" fontId="2" fillId="2" borderId="17" xfId="1" applyFill="1" applyBorder="1" applyAlignment="1" applyProtection="1">
      <alignment vertical="top" wrapText="1"/>
      <protection locked="0"/>
    </xf>
    <xf numFmtId="0" fontId="2" fillId="2" borderId="12" xfId="1" applyFill="1" applyBorder="1" applyAlignment="1" applyProtection="1">
      <alignment vertical="top" wrapText="1"/>
      <protection locked="0"/>
    </xf>
    <xf numFmtId="0" fontId="0" fillId="2" borderId="16" xfId="0" applyFill="1" applyBorder="1" applyAlignment="1">
      <alignment vertical="top" wrapText="1"/>
    </xf>
    <xf numFmtId="0" fontId="0" fillId="2" borderId="8" xfId="0" applyFill="1" applyBorder="1" applyAlignment="1">
      <alignment vertical="top" wrapText="1"/>
    </xf>
    <xf numFmtId="0" fontId="0" fillId="9" borderId="69" xfId="0" applyFill="1" applyBorder="1" applyAlignment="1" applyProtection="1">
      <alignment vertical="top" wrapText="1"/>
      <protection locked="0"/>
    </xf>
    <xf numFmtId="164" fontId="0" fillId="0" borderId="9" xfId="0" applyNumberFormat="1" applyBorder="1" applyAlignment="1" applyProtection="1">
      <alignment horizontal="center" vertical="top" wrapText="1"/>
      <protection locked="0"/>
    </xf>
    <xf numFmtId="166" fontId="0" fillId="0" borderId="49" xfId="0" applyNumberFormat="1" applyBorder="1" applyAlignment="1" applyProtection="1">
      <alignment horizontal="center" vertical="top" wrapText="1"/>
      <protection locked="0"/>
    </xf>
    <xf numFmtId="166" fontId="17" fillId="0" borderId="16" xfId="0" applyNumberFormat="1" applyFont="1" applyBorder="1" applyAlignment="1" applyProtection="1">
      <alignment horizontal="center" vertical="top" wrapText="1"/>
      <protection locked="0"/>
    </xf>
    <xf numFmtId="0" fontId="14" fillId="9" borderId="33" xfId="0" applyFont="1" applyFill="1" applyBorder="1" applyAlignment="1" applyProtection="1">
      <alignment vertical="top" wrapText="1"/>
      <protection locked="0"/>
    </xf>
    <xf numFmtId="0" fontId="14" fillId="9" borderId="9" xfId="0" applyFont="1" applyFill="1" applyBorder="1" applyAlignment="1" applyProtection="1">
      <alignment horizontal="left" vertical="top" wrapText="1"/>
      <protection locked="0"/>
    </xf>
    <xf numFmtId="0" fontId="14" fillId="9" borderId="14" xfId="0" applyFont="1" applyFill="1" applyBorder="1" applyAlignment="1" applyProtection="1">
      <alignment vertical="top" wrapText="1"/>
      <protection locked="0"/>
    </xf>
    <xf numFmtId="0" fontId="14" fillId="9" borderId="40" xfId="0" applyFont="1" applyFill="1" applyBorder="1" applyAlignment="1" applyProtection="1">
      <alignment vertical="top" wrapText="1"/>
      <protection locked="0"/>
    </xf>
    <xf numFmtId="0" fontId="14" fillId="9" borderId="26" xfId="0" applyFont="1" applyFill="1" applyBorder="1" applyAlignment="1" applyProtection="1">
      <alignment horizontal="center" vertical="top" wrapText="1"/>
      <protection locked="0"/>
    </xf>
    <xf numFmtId="0" fontId="14" fillId="9" borderId="42" xfId="0" applyFont="1" applyFill="1" applyBorder="1" applyAlignment="1" applyProtection="1">
      <alignment horizontal="center" vertical="top" wrapText="1"/>
      <protection locked="0"/>
    </xf>
    <xf numFmtId="0" fontId="14" fillId="9" borderId="28" xfId="0" applyFont="1" applyFill="1" applyBorder="1" applyAlignment="1" applyProtection="1">
      <alignment vertical="top" wrapText="1"/>
      <protection locked="0"/>
    </xf>
    <xf numFmtId="0" fontId="43" fillId="25" borderId="12" xfId="0" applyFont="1" applyFill="1" applyBorder="1" applyAlignment="1">
      <alignment wrapText="1"/>
    </xf>
    <xf numFmtId="166" fontId="0" fillId="4" borderId="12" xfId="0" applyNumberFormat="1" applyFill="1" applyBorder="1" applyAlignment="1" applyProtection="1">
      <alignment horizontal="center" vertical="top" wrapText="1"/>
      <protection locked="0"/>
    </xf>
    <xf numFmtId="0" fontId="0" fillId="4" borderId="16" xfId="0" applyFill="1" applyBorder="1" applyAlignment="1" applyProtection="1">
      <alignment horizontal="left" vertical="top" wrapText="1"/>
      <protection locked="0"/>
    </xf>
    <xf numFmtId="0" fontId="13" fillId="2" borderId="17" xfId="0" applyFont="1" applyFill="1" applyBorder="1" applyAlignment="1" applyProtection="1">
      <alignment vertical="top" wrapText="1"/>
      <protection locked="0"/>
    </xf>
    <xf numFmtId="20" fontId="0" fillId="9" borderId="15" xfId="0" applyNumberFormat="1" applyFill="1" applyBorder="1" applyAlignment="1" applyProtection="1">
      <alignment vertical="top" wrapText="1"/>
      <protection locked="0"/>
    </xf>
    <xf numFmtId="0" fontId="0" fillId="9" borderId="26" xfId="0" applyFill="1" applyBorder="1" applyAlignment="1" applyProtection="1">
      <alignment vertical="top" wrapText="1"/>
      <protection locked="0"/>
    </xf>
    <xf numFmtId="0" fontId="0" fillId="2" borderId="32" xfId="0" applyFill="1" applyBorder="1" applyAlignment="1" applyProtection="1">
      <alignment horizontal="center" vertical="top" wrapText="1"/>
      <protection locked="0"/>
    </xf>
    <xf numFmtId="0" fontId="0" fillId="4" borderId="16" xfId="0" applyFill="1" applyBorder="1" applyAlignment="1" applyProtection="1">
      <alignment vertical="top" wrapText="1"/>
      <protection locked="0"/>
    </xf>
    <xf numFmtId="166" fontId="0" fillId="2" borderId="49" xfId="0" applyNumberFormat="1" applyFill="1" applyBorder="1" applyAlignment="1" applyProtection="1">
      <alignment horizontal="center" vertical="top" wrapText="1"/>
      <protection locked="0"/>
    </xf>
    <xf numFmtId="166" fontId="0" fillId="2" borderId="53" xfId="0" applyNumberFormat="1" applyFill="1" applyBorder="1" applyAlignment="1" applyProtection="1">
      <alignment horizontal="center" vertical="top" wrapText="1"/>
      <protection locked="0"/>
    </xf>
    <xf numFmtId="167" fontId="19" fillId="2" borderId="54" xfId="0" applyNumberFormat="1" applyFont="1" applyFill="1" applyBorder="1" applyAlignment="1" applyProtection="1">
      <alignment horizontal="center" vertical="top" wrapText="1"/>
      <protection locked="0"/>
    </xf>
    <xf numFmtId="164" fontId="0" fillId="0" borderId="47" xfId="0" applyNumberFormat="1" applyBorder="1" applyAlignment="1" applyProtection="1">
      <alignment horizontal="center" vertical="top" wrapText="1"/>
      <protection locked="0"/>
    </xf>
    <xf numFmtId="164" fontId="0" fillId="2" borderId="47" xfId="0" applyNumberFormat="1" applyFill="1" applyBorder="1" applyAlignment="1" applyProtection="1">
      <alignment horizontal="center" vertical="top" wrapText="1"/>
      <protection locked="0"/>
    </xf>
    <xf numFmtId="166" fontId="0" fillId="2" borderId="15" xfId="0" applyNumberFormat="1" applyFill="1" applyBorder="1" applyAlignment="1" applyProtection="1">
      <alignment horizontal="center" vertical="top" wrapText="1"/>
      <protection locked="0"/>
    </xf>
    <xf numFmtId="166" fontId="0" fillId="2" borderId="14" xfId="0" applyNumberFormat="1" applyFill="1" applyBorder="1" applyAlignment="1" applyProtection="1">
      <alignment horizontal="center" vertical="top" wrapText="1"/>
      <protection locked="0"/>
    </xf>
    <xf numFmtId="166" fontId="13" fillId="2" borderId="23" xfId="0" applyNumberFormat="1" applyFont="1" applyFill="1" applyBorder="1" applyAlignment="1" applyProtection="1">
      <alignment horizontal="center" vertical="top" wrapText="1"/>
      <protection locked="0"/>
    </xf>
    <xf numFmtId="165" fontId="0" fillId="2" borderId="15" xfId="0" applyNumberFormat="1" applyFill="1" applyBorder="1" applyAlignment="1">
      <alignment horizontal="center" vertical="top" wrapText="1"/>
    </xf>
    <xf numFmtId="166" fontId="0" fillId="2" borderId="31" xfId="0" applyNumberFormat="1" applyFill="1" applyBorder="1" applyAlignment="1" applyProtection="1">
      <alignment horizontal="center" vertical="top" wrapText="1"/>
      <protection locked="0"/>
    </xf>
    <xf numFmtId="164" fontId="0" fillId="2" borderId="26" xfId="0" applyNumberFormat="1" applyFill="1" applyBorder="1" applyAlignment="1" applyProtection="1">
      <alignment horizontal="center" vertical="top" wrapText="1"/>
      <protection locked="0"/>
    </xf>
    <xf numFmtId="166" fontId="0" fillId="2" borderId="27" xfId="0" applyNumberFormat="1" applyFill="1" applyBorder="1" applyAlignment="1" applyProtection="1">
      <alignment horizontal="center" vertical="top" wrapText="1"/>
      <protection locked="0"/>
    </xf>
    <xf numFmtId="0" fontId="0" fillId="0" borderId="0" xfId="0" applyAlignment="1">
      <alignment vertical="top" wrapText="1"/>
    </xf>
    <xf numFmtId="0" fontId="23" fillId="0" borderId="0" xfId="0" applyFont="1" applyAlignment="1">
      <alignment vertical="top" wrapText="1"/>
    </xf>
    <xf numFmtId="0" fontId="44" fillId="4" borderId="15" xfId="0" applyFont="1" applyFill="1" applyBorder="1" applyAlignment="1">
      <alignment horizontal="center" vertical="center" wrapText="1"/>
    </xf>
    <xf numFmtId="0" fontId="42" fillId="8" borderId="21" xfId="0" applyFont="1" applyFill="1" applyBorder="1" applyAlignment="1">
      <alignment horizontal="center" vertical="top" wrapText="1"/>
    </xf>
    <xf numFmtId="0" fontId="42" fillId="8" borderId="16" xfId="0" applyFont="1" applyFill="1" applyBorder="1" applyAlignment="1">
      <alignment horizontal="center" vertical="top" wrapText="1"/>
    </xf>
    <xf numFmtId="0" fontId="42" fillId="8" borderId="12" xfId="0" applyFont="1" applyFill="1" applyBorder="1" applyAlignment="1" applyProtection="1">
      <alignment horizontal="center" vertical="top" wrapText="1"/>
      <protection locked="0"/>
    </xf>
    <xf numFmtId="0" fontId="42" fillId="9" borderId="20" xfId="0" applyFont="1" applyFill="1" applyBorder="1" applyAlignment="1" applyProtection="1">
      <alignment horizontal="center" vertical="top" wrapText="1"/>
      <protection locked="0"/>
    </xf>
    <xf numFmtId="0" fontId="42" fillId="9" borderId="12" xfId="0" applyFont="1" applyFill="1" applyBorder="1" applyAlignment="1" applyProtection="1">
      <alignment horizontal="center" vertical="top" wrapText="1"/>
      <protection locked="0"/>
    </xf>
    <xf numFmtId="0" fontId="45" fillId="9" borderId="20" xfId="0" applyFont="1" applyFill="1" applyBorder="1" applyAlignment="1" applyProtection="1">
      <alignment horizontal="center" vertical="top" wrapText="1"/>
      <protection locked="0"/>
    </xf>
    <xf numFmtId="0" fontId="45" fillId="9" borderId="8" xfId="0" applyFont="1" applyFill="1" applyBorder="1" applyAlignment="1" applyProtection="1">
      <alignment vertical="top" wrapText="1"/>
      <protection locked="0"/>
    </xf>
    <xf numFmtId="0" fontId="42" fillId="9" borderId="9" xfId="0" applyFont="1" applyFill="1" applyBorder="1" applyAlignment="1" applyProtection="1">
      <alignment vertical="top" wrapText="1"/>
      <protection locked="0"/>
    </xf>
    <xf numFmtId="0" fontId="42" fillId="9" borderId="16" xfId="0" applyFont="1" applyFill="1" applyBorder="1" applyAlignment="1" applyProtection="1">
      <alignment vertical="top" wrapText="1"/>
      <protection locked="0"/>
    </xf>
    <xf numFmtId="0" fontId="42" fillId="9" borderId="16" xfId="0" applyFont="1" applyFill="1" applyBorder="1" applyAlignment="1" applyProtection="1">
      <alignment horizontal="center" vertical="top" wrapText="1"/>
      <protection locked="0"/>
    </xf>
    <xf numFmtId="0" fontId="42" fillId="9" borderId="12" xfId="0" applyFont="1" applyFill="1" applyBorder="1" applyAlignment="1" applyProtection="1">
      <alignment vertical="top" wrapText="1"/>
      <protection locked="0"/>
    </xf>
    <xf numFmtId="0" fontId="42" fillId="9" borderId="6" xfId="0" applyFont="1" applyFill="1" applyBorder="1" applyAlignment="1" applyProtection="1">
      <alignment horizontal="center" vertical="top" wrapText="1"/>
      <protection locked="0"/>
    </xf>
    <xf numFmtId="0" fontId="42" fillId="9" borderId="14" xfId="0" applyFont="1" applyFill="1" applyBorder="1" applyAlignment="1" applyProtection="1">
      <alignment horizontal="center" vertical="top" wrapText="1"/>
      <protection locked="0"/>
    </xf>
    <xf numFmtId="0" fontId="42" fillId="9" borderId="21" xfId="0" applyFont="1" applyFill="1" applyBorder="1" applyAlignment="1" applyProtection="1">
      <alignment vertical="top" wrapText="1"/>
      <protection locked="0"/>
    </xf>
    <xf numFmtId="0" fontId="42" fillId="3" borderId="15" xfId="0" applyFont="1" applyFill="1" applyBorder="1" applyAlignment="1">
      <alignment horizontal="center" vertical="top" wrapText="1"/>
    </xf>
    <xf numFmtId="0" fontId="42" fillId="3" borderId="8" xfId="0" applyFont="1" applyFill="1" applyBorder="1" applyAlignment="1">
      <alignment horizontal="center" vertical="top" wrapText="1"/>
    </xf>
    <xf numFmtId="164" fontId="42" fillId="9" borderId="9" xfId="0" applyNumberFormat="1" applyFont="1" applyFill="1" applyBorder="1" applyAlignment="1" applyProtection="1">
      <alignment horizontal="center" vertical="top" wrapText="1"/>
      <protection locked="0"/>
    </xf>
    <xf numFmtId="165" fontId="42" fillId="3" borderId="15" xfId="0" applyNumberFormat="1" applyFont="1" applyFill="1" applyBorder="1" applyAlignment="1">
      <alignment horizontal="center" vertical="top" wrapText="1"/>
    </xf>
    <xf numFmtId="166" fontId="42" fillId="9" borderId="16" xfId="0" applyNumberFormat="1" applyFont="1" applyFill="1" applyBorder="1" applyAlignment="1" applyProtection="1">
      <alignment horizontal="center" vertical="top" wrapText="1"/>
      <protection locked="0"/>
    </xf>
    <xf numFmtId="166" fontId="42" fillId="9" borderId="8" xfId="0" applyNumberFormat="1" applyFont="1" applyFill="1" applyBorder="1" applyAlignment="1" applyProtection="1">
      <alignment horizontal="center" vertical="top" wrapText="1"/>
      <protection locked="0"/>
    </xf>
    <xf numFmtId="166" fontId="42" fillId="9" borderId="12" xfId="0" applyNumberFormat="1" applyFont="1" applyFill="1" applyBorder="1" applyAlignment="1" applyProtection="1">
      <alignment horizontal="center" vertical="top" wrapText="1"/>
      <protection locked="0"/>
    </xf>
    <xf numFmtId="164" fontId="42" fillId="9" borderId="20" xfId="0" applyNumberFormat="1" applyFont="1" applyFill="1" applyBorder="1" applyAlignment="1" applyProtection="1">
      <alignment horizontal="center" vertical="top" wrapText="1"/>
      <protection locked="0"/>
    </xf>
    <xf numFmtId="165" fontId="42" fillId="3" borderId="16" xfId="0" applyNumberFormat="1" applyFont="1" applyFill="1" applyBorder="1" applyAlignment="1">
      <alignment horizontal="center" vertical="top" wrapText="1"/>
    </xf>
    <xf numFmtId="166" fontId="42" fillId="9" borderId="31" xfId="0" applyNumberFormat="1" applyFont="1" applyFill="1" applyBorder="1" applyAlignment="1" applyProtection="1">
      <alignment horizontal="center" vertical="top" wrapText="1"/>
      <protection locked="0"/>
    </xf>
    <xf numFmtId="164" fontId="42" fillId="9" borderId="26" xfId="0" applyNumberFormat="1" applyFont="1" applyFill="1" applyBorder="1" applyAlignment="1" applyProtection="1">
      <alignment horizontal="center" vertical="top" wrapText="1"/>
      <protection locked="0"/>
    </xf>
    <xf numFmtId="166" fontId="42" fillId="9" borderId="27" xfId="0" applyNumberFormat="1" applyFont="1" applyFill="1" applyBorder="1" applyAlignment="1" applyProtection="1">
      <alignment horizontal="center" vertical="top" wrapText="1"/>
      <protection locked="0"/>
    </xf>
    <xf numFmtId="0" fontId="42" fillId="9" borderId="9" xfId="0" applyFont="1" applyFill="1" applyBorder="1" applyAlignment="1" applyProtection="1">
      <alignment horizontal="center" vertical="top" wrapText="1"/>
      <protection locked="0"/>
    </xf>
    <xf numFmtId="0" fontId="42" fillId="9" borderId="16" xfId="0" applyFont="1" applyFill="1" applyBorder="1" applyAlignment="1" applyProtection="1">
      <alignment horizontal="left" vertical="top" wrapText="1"/>
      <protection locked="0"/>
    </xf>
    <xf numFmtId="0" fontId="42" fillId="9" borderId="15" xfId="0" applyFont="1" applyFill="1" applyBorder="1" applyAlignment="1" applyProtection="1">
      <alignment horizontal="center" vertical="top" wrapText="1"/>
      <protection locked="0"/>
    </xf>
    <xf numFmtId="0" fontId="42" fillId="9" borderId="8" xfId="0" applyFont="1" applyFill="1" applyBorder="1" applyAlignment="1" applyProtection="1">
      <alignment vertical="top" wrapText="1"/>
      <protection locked="0"/>
    </xf>
    <xf numFmtId="0" fontId="42" fillId="9" borderId="17" xfId="0" applyFont="1" applyFill="1" applyBorder="1" applyAlignment="1" applyProtection="1">
      <alignment vertical="top" wrapText="1"/>
      <protection locked="0"/>
    </xf>
    <xf numFmtId="0" fontId="42" fillId="21" borderId="16" xfId="0" applyFont="1" applyFill="1" applyBorder="1" applyAlignment="1" applyProtection="1">
      <alignment vertical="top" wrapText="1"/>
      <protection locked="0"/>
    </xf>
    <xf numFmtId="0" fontId="42" fillId="9" borderId="20" xfId="0" applyFont="1" applyFill="1" applyBorder="1" applyAlignment="1" applyProtection="1">
      <alignment vertical="top" wrapText="1"/>
      <protection locked="0"/>
    </xf>
    <xf numFmtId="0" fontId="46" fillId="9" borderId="17" xfId="1" applyFont="1" applyFill="1" applyBorder="1" applyAlignment="1" applyProtection="1">
      <alignment vertical="top" wrapText="1"/>
      <protection locked="0"/>
    </xf>
    <xf numFmtId="0" fontId="42" fillId="9" borderId="8" xfId="0" applyFont="1" applyFill="1" applyBorder="1" applyAlignment="1" applyProtection="1">
      <alignment horizontal="center" vertical="top" wrapText="1"/>
      <protection locked="0"/>
    </xf>
    <xf numFmtId="0" fontId="42" fillId="8" borderId="16" xfId="0" applyFont="1" applyFill="1" applyBorder="1" applyAlignment="1">
      <alignment vertical="top" wrapText="1"/>
    </xf>
    <xf numFmtId="0" fontId="42" fillId="9" borderId="8" xfId="0" applyFont="1" applyFill="1" applyBorder="1" applyAlignment="1">
      <alignment vertical="top" wrapText="1"/>
    </xf>
    <xf numFmtId="0" fontId="42" fillId="9" borderId="16" xfId="0" applyFont="1" applyFill="1" applyBorder="1" applyAlignment="1">
      <alignment vertical="top" wrapText="1"/>
    </xf>
    <xf numFmtId="0" fontId="42" fillId="8" borderId="16" xfId="0" applyFont="1" applyFill="1" applyBorder="1" applyAlignment="1" applyProtection="1">
      <alignment horizontal="center" vertical="top" wrapText="1"/>
      <protection locked="0"/>
    </xf>
    <xf numFmtId="0" fontId="13" fillId="0" borderId="0" xfId="0" applyFont="1" applyAlignment="1">
      <alignment vertical="top" wrapText="1"/>
    </xf>
    <xf numFmtId="0" fontId="0" fillId="2" borderId="0" xfId="0" applyFill="1" applyAlignment="1">
      <alignment vertical="top" wrapText="1"/>
    </xf>
    <xf numFmtId="0" fontId="0" fillId="16" borderId="0" xfId="0" applyFill="1" applyAlignment="1">
      <alignment vertical="top" wrapText="1"/>
    </xf>
    <xf numFmtId="0" fontId="0" fillId="19" borderId="0" xfId="0" applyFill="1" applyAlignment="1">
      <alignment vertical="top" wrapText="1"/>
    </xf>
    <xf numFmtId="0" fontId="19" fillId="8" borderId="9" xfId="0" applyFont="1" applyFill="1" applyBorder="1" applyAlignment="1">
      <alignment horizontal="center" vertical="top" wrapText="1"/>
    </xf>
    <xf numFmtId="0" fontId="19" fillId="8" borderId="16" xfId="0" applyFont="1" applyFill="1" applyBorder="1" applyAlignment="1">
      <alignment horizontal="center" vertical="top" wrapText="1"/>
    </xf>
    <xf numFmtId="0" fontId="19" fillId="8" borderId="12" xfId="0" applyFont="1" applyFill="1" applyBorder="1" applyAlignment="1" applyProtection="1">
      <alignment horizontal="center" vertical="top" wrapText="1"/>
      <protection locked="0"/>
    </xf>
    <xf numFmtId="0" fontId="47" fillId="9" borderId="20" xfId="0" applyFont="1" applyFill="1" applyBorder="1" applyAlignment="1" applyProtection="1">
      <alignment horizontal="center" vertical="top" wrapText="1"/>
      <protection locked="0"/>
    </xf>
    <xf numFmtId="0" fontId="47" fillId="9" borderId="12" xfId="0" applyFont="1" applyFill="1" applyBorder="1" applyAlignment="1" applyProtection="1">
      <alignment horizontal="center" vertical="top" wrapText="1"/>
      <protection locked="0"/>
    </xf>
    <xf numFmtId="0" fontId="19" fillId="9" borderId="20" xfId="0" applyFont="1" applyFill="1" applyBorder="1" applyAlignment="1" applyProtection="1">
      <alignment horizontal="center" vertical="top" wrapText="1"/>
      <protection locked="0"/>
    </xf>
    <xf numFmtId="0" fontId="19" fillId="9" borderId="12" xfId="0" applyFont="1" applyFill="1" applyBorder="1" applyAlignment="1" applyProtection="1">
      <alignment vertical="top" wrapText="1"/>
      <protection locked="0"/>
    </xf>
    <xf numFmtId="0" fontId="19" fillId="9" borderId="33" xfId="0" applyFont="1" applyFill="1" applyBorder="1" applyAlignment="1" applyProtection="1">
      <alignment vertical="center" wrapText="1"/>
      <protection locked="0"/>
    </xf>
    <xf numFmtId="0" fontId="19" fillId="9" borderId="9" xfId="0" applyFont="1" applyFill="1" applyBorder="1" applyAlignment="1" applyProtection="1">
      <alignment vertical="top" wrapText="1"/>
      <protection locked="0"/>
    </xf>
    <xf numFmtId="0" fontId="19" fillId="9" borderId="12" xfId="0" applyFont="1" applyFill="1" applyBorder="1" applyAlignment="1" applyProtection="1">
      <alignment horizontal="center" vertical="top" wrapText="1"/>
      <protection locked="0"/>
    </xf>
    <xf numFmtId="0" fontId="19" fillId="9" borderId="20" xfId="0" applyFont="1" applyFill="1" applyBorder="1" applyAlignment="1" applyProtection="1">
      <alignment vertical="top" wrapText="1"/>
      <protection locked="0"/>
    </xf>
    <xf numFmtId="0" fontId="19" fillId="9" borderId="14" xfId="0" applyFont="1" applyFill="1" applyBorder="1" applyAlignment="1" applyProtection="1">
      <alignment vertical="top" wrapText="1"/>
      <protection locked="0"/>
    </xf>
    <xf numFmtId="0" fontId="19" fillId="9" borderId="33" xfId="0" applyFont="1" applyFill="1" applyBorder="1" applyAlignment="1" applyProtection="1">
      <alignment horizontal="center" vertical="top" wrapText="1"/>
      <protection locked="0"/>
    </xf>
    <xf numFmtId="0" fontId="19" fillId="9" borderId="39" xfId="0" applyFont="1" applyFill="1" applyBorder="1" applyAlignment="1" applyProtection="1">
      <alignment horizontal="center" vertical="top" wrapText="1"/>
      <protection locked="0"/>
    </xf>
    <xf numFmtId="0" fontId="19" fillId="3" borderId="12" xfId="0" applyFont="1" applyFill="1" applyBorder="1" applyAlignment="1">
      <alignment horizontal="center" vertical="top" wrapText="1"/>
    </xf>
    <xf numFmtId="0" fontId="19" fillId="9" borderId="16" xfId="0" applyFont="1" applyFill="1" applyBorder="1" applyAlignment="1" applyProtection="1">
      <alignment horizontal="center" vertical="top" wrapText="1"/>
      <protection locked="0"/>
    </xf>
    <xf numFmtId="0" fontId="19" fillId="9" borderId="26" xfId="0" applyFont="1" applyFill="1" applyBorder="1" applyAlignment="1" applyProtection="1">
      <alignment horizontal="center" vertical="top" wrapText="1"/>
      <protection locked="0"/>
    </xf>
    <xf numFmtId="0" fontId="19" fillId="2" borderId="16" xfId="0" applyFont="1" applyFill="1" applyBorder="1" applyAlignment="1" applyProtection="1">
      <alignment horizontal="center" vertical="top" wrapText="1"/>
      <protection locked="0"/>
    </xf>
    <xf numFmtId="0" fontId="19" fillId="3" borderId="8" xfId="0" applyFont="1" applyFill="1" applyBorder="1" applyAlignment="1">
      <alignment horizontal="center" vertical="top" wrapText="1"/>
    </xf>
    <xf numFmtId="164" fontId="19" fillId="5" borderId="9" xfId="0" applyNumberFormat="1" applyFont="1" applyFill="1" applyBorder="1" applyAlignment="1" applyProtection="1">
      <alignment horizontal="center" vertical="top" wrapText="1"/>
      <protection locked="0"/>
    </xf>
    <xf numFmtId="165" fontId="19" fillId="3" borderId="16" xfId="0" applyNumberFormat="1" applyFont="1" applyFill="1" applyBorder="1" applyAlignment="1">
      <alignment horizontal="center" vertical="top" wrapText="1"/>
    </xf>
    <xf numFmtId="166" fontId="19" fillId="5" borderId="12" xfId="0" applyNumberFormat="1" applyFont="1" applyFill="1" applyBorder="1" applyAlignment="1" applyProtection="1">
      <alignment horizontal="center" vertical="top" wrapText="1"/>
      <protection locked="0"/>
    </xf>
    <xf numFmtId="164" fontId="19" fillId="9" borderId="20" xfId="0" applyNumberFormat="1" applyFont="1" applyFill="1" applyBorder="1" applyAlignment="1" applyProtection="1">
      <alignment horizontal="center" vertical="top" wrapText="1"/>
      <protection locked="0"/>
    </xf>
    <xf numFmtId="166" fontId="19" fillId="9" borderId="31" xfId="0" applyNumberFormat="1" applyFont="1" applyFill="1" applyBorder="1" applyAlignment="1" applyProtection="1">
      <alignment horizontal="center" vertical="top" wrapText="1"/>
      <protection locked="0"/>
    </xf>
    <xf numFmtId="164" fontId="19" fillId="9" borderId="26" xfId="0" applyNumberFormat="1" applyFont="1" applyFill="1" applyBorder="1" applyAlignment="1" applyProtection="1">
      <alignment horizontal="center" vertical="top" wrapText="1"/>
      <protection locked="0"/>
    </xf>
    <xf numFmtId="166" fontId="19" fillId="9" borderId="27" xfId="0" applyNumberFormat="1" applyFont="1" applyFill="1" applyBorder="1" applyAlignment="1" applyProtection="1">
      <alignment horizontal="center" vertical="top" wrapText="1"/>
      <protection locked="0"/>
    </xf>
    <xf numFmtId="0" fontId="19" fillId="4" borderId="15" xfId="0" applyFont="1" applyFill="1" applyBorder="1" applyAlignment="1" applyProtection="1">
      <alignment horizontal="left" vertical="top" wrapText="1"/>
      <protection locked="0"/>
    </xf>
    <xf numFmtId="0" fontId="19" fillId="9" borderId="15" xfId="0" applyFont="1" applyFill="1" applyBorder="1" applyAlignment="1" applyProtection="1">
      <alignment horizontal="left" vertical="top" wrapText="1"/>
      <protection locked="0"/>
    </xf>
    <xf numFmtId="0" fontId="19" fillId="9" borderId="37" xfId="0" applyFont="1" applyFill="1" applyBorder="1" applyAlignment="1" applyProtection="1">
      <alignment vertical="top" wrapText="1"/>
      <protection locked="0"/>
    </xf>
    <xf numFmtId="0" fontId="19" fillId="9" borderId="8" xfId="0" applyFont="1" applyFill="1" applyBorder="1" applyAlignment="1" applyProtection="1">
      <alignment horizontal="center" vertical="top" wrapText="1"/>
      <protection locked="0"/>
    </xf>
    <xf numFmtId="0" fontId="19" fillId="8" borderId="16" xfId="0" applyFont="1" applyFill="1" applyBorder="1" applyAlignment="1">
      <alignment vertical="top" wrapText="1"/>
    </xf>
    <xf numFmtId="0" fontId="19" fillId="9" borderId="8" xfId="0" applyFont="1" applyFill="1" applyBorder="1" applyAlignment="1">
      <alignment vertical="top" wrapText="1"/>
    </xf>
    <xf numFmtId="0" fontId="19" fillId="9" borderId="16" xfId="0" applyFont="1" applyFill="1" applyBorder="1" applyAlignment="1">
      <alignment vertical="top" wrapText="1"/>
    </xf>
    <xf numFmtId="0" fontId="19" fillId="8" borderId="16" xfId="0" applyFont="1" applyFill="1" applyBorder="1" applyAlignment="1" applyProtection="1">
      <alignment horizontal="center" vertical="top" wrapText="1"/>
      <protection locked="0"/>
    </xf>
    <xf numFmtId="0" fontId="19" fillId="0" borderId="0" xfId="0" applyFont="1" applyAlignment="1">
      <alignment vertical="top" wrapText="1"/>
    </xf>
    <xf numFmtId="0" fontId="19" fillId="0" borderId="0" xfId="0" applyFont="1" applyAlignment="1">
      <alignment vertical="center" wrapText="1"/>
    </xf>
    <xf numFmtId="0" fontId="19" fillId="0" borderId="0" xfId="0" applyFont="1" applyAlignment="1">
      <alignment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cellXfs>
  <cellStyles count="2">
    <cellStyle name="Hyperlink" xfId="1" builtinId="8"/>
    <cellStyle name="Normal" xfId="0" builtinId="0"/>
  </cellStyles>
  <dxfs count="846">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patternType="solid">
          <bgColor rgb="FFC6EFCE"/>
        </patternFill>
      </fill>
    </dxf>
    <dxf>
      <font>
        <color rgb="FFFF0000"/>
      </font>
      <fill>
        <patternFill patternType="solid">
          <bgColor rgb="FFFFC000"/>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patternType="solid">
          <fgColor rgb="FFC6EFCE"/>
          <bgColor rgb="FFC6EFCE"/>
        </patternFill>
      </fill>
    </dxf>
    <dxf>
      <font>
        <color rgb="FF006100"/>
      </font>
      <fill>
        <patternFill>
          <bgColor rgb="FFC6EFCE"/>
        </patternFill>
      </fill>
    </dxf>
    <dxf>
      <font>
        <color rgb="FF006100"/>
      </font>
      <fill>
        <patternFill patternType="solid">
          <fgColor rgb="FFC6EFCE"/>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ont>
        <strike val="0"/>
        <outline val="0"/>
        <shadow val="0"/>
        <name val="Calibri"/>
        <family val="2"/>
        <scheme val="minor"/>
      </font>
      <alignment vertical="top" textRotation="0" wrapText="1" indent="0" justifyLastLine="0" shrinkToFit="0" readingOrder="0"/>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border outline="0">
        <right style="thin">
          <color indexed="64"/>
        </right>
      </border>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border outline="0">
        <right style="thin">
          <color indexed="64"/>
        </right>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double">
          <color rgb="FFFF0000"/>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auto="1"/>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auto="1"/>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name val="Calibri"/>
        <family val="2"/>
        <scheme val="minor"/>
      </font>
      <fill>
        <patternFill patternType="solid">
          <fgColor indexed="64"/>
          <bgColor theme="0" tint="-4.9989318521683403E-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name val="Calibri"/>
        <family val="2"/>
        <scheme val="minor"/>
      </font>
      <alignment vertical="top" textRotation="0" wrapText="1" indent="0" justifyLastLine="0" shrinkToFit="0" readingOrder="0"/>
    </dxf>
    <dxf>
      <border>
        <bottom style="thin">
          <color auto="1"/>
        </bottom>
      </border>
    </dxf>
    <dxf>
      <font>
        <b/>
        <strike val="0"/>
        <outline val="0"/>
        <shadow val="0"/>
        <u val="none"/>
        <vertAlign val="baseline"/>
        <sz val="10"/>
        <name val="Calibri"/>
        <family val="2"/>
        <scheme val="minor"/>
      </font>
      <fill>
        <patternFill>
          <bgColor rgb="FFFFC000"/>
        </patternFill>
      </fill>
      <alignment horizontal="center" vertical="center" textRotation="0" wrapText="1" indent="0" justifyLastLine="0" shrinkToFit="0" readingOrder="0"/>
      <border diagonalUp="0" diagonalDown="0" outline="0">
        <left style="thin">
          <color auto="1"/>
        </left>
        <right style="thin">
          <color auto="1"/>
        </right>
        <top/>
        <bottom/>
      </border>
    </dxf>
    <dxf>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medium">
          <color rgb="FFFF0000"/>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21" Type="http://schemas.openxmlformats.org/officeDocument/2006/relationships/externalLink" Target="externalLinks/externalLink15.xml"/><Relationship Id="rId34" Type="http://schemas.openxmlformats.org/officeDocument/2006/relationships/calcChain" Target="calcChain.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microsoft.com/office/2017/10/relationships/person" Target="persons/person.xml"/><Relationship Id="rId38"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sharedStrings" Target="sharedString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customXml" Target="../customXml/item2.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connections" Target="connections.xml"/><Relationship Id="rId35" Type="http://schemas.openxmlformats.org/officeDocument/2006/relationships/customXml" Target="../customXml/item1.xml"/><Relationship Id="rId8" Type="http://schemas.openxmlformats.org/officeDocument/2006/relationships/externalLink" Target="externalLinks/externalLink2.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G:\ILP\Term%201,26-27\Listed\Input%20Template%20for%20OSA%20-%20ILP%20Events%20for%20Term%201%202026-27_Career_as%20at%2020260826_all.xlsx" TargetMode="External"/><Relationship Id="rId1" Type="http://schemas.openxmlformats.org/officeDocument/2006/relationships/externalLinkPath" Target="Input%20Template%20for%20OSA%20-%20ILP%20Events%20for%20Term%201%202026-27_Career_as%20at%2020260826_all.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Term%201,%202026-27%20for%20Collaborating%20Units/CPO.xlsx" TargetMode="External"/><Relationship Id="rId2" Type="http://schemas.openxmlformats.org/officeDocument/2006/relationships/externalLinkPath" Target="https://mylingnan.sharepoint.com/sites/ILPCoordinators/Shared%20Documents/General/2026-27/Term%201,%202026-27%20for%20Collaborating%20Units/CPO.xlsx" TargetMode="External"/><Relationship Id="rId1" Type="http://schemas.openxmlformats.org/officeDocument/2006/relationships/externalLinkPath" Target="/sites/ILPCoordinators/Shared%20Documents/General/2026-27/Term%201,%202026-27%20for%20Collaborating%20Units/CPO.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Term%201,%202026-27%20for%20Collaborating%20Units/DoS.xlsx" TargetMode="External"/><Relationship Id="rId2" Type="http://schemas.openxmlformats.org/officeDocument/2006/relationships/externalLinkPath" Target="https://mylingnan.sharepoint.com/sites/ILPCoordinators/Shared%20Documents/General/2026-27/Term%201,%202026-27%20for%20Collaborating%20Units/DoS.xlsx" TargetMode="External"/><Relationship Id="rId1" Type="http://schemas.openxmlformats.org/officeDocument/2006/relationships/externalLinkPath" Target="/sites/ILPCoordinators/Shared%20Documents/General/2026-27/Term%201,%202026-27%20for%20Collaborating%20Units/DoS.xlsx"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Term%201,%202026-27%20for%20Collaborating%20Units/LIB.xlsx" TargetMode="External"/><Relationship Id="rId2" Type="http://schemas.openxmlformats.org/officeDocument/2006/relationships/externalLinkPath" Target="https://mylingnan.sharepoint.com/sites/ILPCoordinators/Shared%20Documents/General/2026-27/Term%201,%202026-27%20for%20Collaborating%20Units/LIB.xlsx" TargetMode="External"/><Relationship Id="rId1" Type="http://schemas.openxmlformats.org/officeDocument/2006/relationships/externalLinkPath" Target="/sites/ILPCoordinators/Shared%20Documents/General/2026-27/Term%201,%202026-27%20for%20Collaborating%20Units/LIB.xlsx" TargetMode="External"/></Relationships>
</file>

<file path=xl/externalLinks/_rels/externalLink5.xml.rels><?xml version="1.0" encoding="UTF-8" standalone="yes"?>
<Relationships xmlns="http://schemas.openxmlformats.org/package/2006/relationships"><Relationship Id="rId3" Type="http://schemas.openxmlformats.org/officeDocument/2006/relationships/externalLinkPath" Target="../Term%201,%202026-27%20for%20Collaborating%20Units/OCC.xlsx" TargetMode="External"/><Relationship Id="rId2" Type="http://schemas.openxmlformats.org/officeDocument/2006/relationships/externalLinkPath" Target="https://mylingnan.sharepoint.com/sites/ILPCoordinators/Shared%20Documents/General/2026-27/Term%201,%202026-27%20for%20Collaborating%20Units/OCC.xlsx" TargetMode="External"/><Relationship Id="rId1" Type="http://schemas.openxmlformats.org/officeDocument/2006/relationships/externalLinkPath" Target="/sites/ILPCoordinators/Shared%20Documents/General/2026-27/Term%201,%202026-27%20for%20Collaborating%20Units/OCC.xlsx" TargetMode="External"/></Relationships>
</file>

<file path=xl/externalLinks/_rels/externalLink6.xml.rels><?xml version="1.0" encoding="UTF-8" standalone="yes"?>
<Relationships xmlns="http://schemas.openxmlformats.org/package/2006/relationships"><Relationship Id="rId3" Type="http://schemas.openxmlformats.org/officeDocument/2006/relationships/externalLinkPath" Target="../Term%201,%202026-27%20for%20Collaborating%20Units/OSL.xlsx" TargetMode="External"/><Relationship Id="rId2" Type="http://schemas.openxmlformats.org/officeDocument/2006/relationships/externalLinkPath" Target="https://mylingnan.sharepoint.com/sites/ILPCoordinators/Shared%20Documents/General/2026-27/Term%201,%202026-27%20for%20Collaborating%20Units/OSL.xlsx" TargetMode="External"/><Relationship Id="rId1" Type="http://schemas.openxmlformats.org/officeDocument/2006/relationships/externalLinkPath" Target="/sites/ILPCoordinators/Shared%20Documents/General/2026-27/Term%201,%202026-27%20for%20Collaborating%20Units/OSL.xlsx" TargetMode="External"/></Relationships>
</file>

<file path=xl/externalLinks/_rels/externalLink7.xml.rels><?xml version="1.0" encoding="UTF-8" standalone="yes"?>
<Relationships xmlns="http://schemas.openxmlformats.org/package/2006/relationships"><Relationship Id="rId3" Type="http://schemas.openxmlformats.org/officeDocument/2006/relationships/externalLinkPath" Target="../Term%201,%202026-27%20for%20OSA/Ivy%20-%20ILP%20Events%20for%20Term%201%202026-27_CELD_20260825.xlsx" TargetMode="External"/><Relationship Id="rId2" Type="http://schemas.openxmlformats.org/officeDocument/2006/relationships/externalLinkPath" Target="https://mylingnan.sharepoint.com/sites/ILPCoordinators/Shared%20Documents/General/2026-27/Term%201,%202026-27%20for%20OSA/Ivy%20-%20ILP%20Events%20for%20Term%201%202026-27_CELD_20260825.xlsx" TargetMode="External"/><Relationship Id="rId1" Type="http://schemas.openxmlformats.org/officeDocument/2006/relationships/externalLinkPath" Target="/sites/ILPCoordinators/Shared%20Documents/General/2026-27/Term%201,%202026-27%20for%20OSA/Ivy%20-%20ILP%20Events%20for%20Term%201%202026-27_CELD_20260825.xlsx" TargetMode="External"/></Relationships>
</file>

<file path=xl/externalLinks/_rels/externalLink8.xml.rels><?xml version="1.0" encoding="UTF-8" standalone="yes"?>
<Relationships xmlns="http://schemas.openxmlformats.org/package/2006/relationships"><Relationship Id="rId3" Type="http://schemas.openxmlformats.org/officeDocument/2006/relationships/externalLinkPath" Target="../Term%201,%202026-27%20for%20Collaborating%20Units/OGE.xlsx" TargetMode="External"/><Relationship Id="rId2" Type="http://schemas.openxmlformats.org/officeDocument/2006/relationships/externalLinkPath" Target="https://mylingnan.sharepoint.com/sites/ILPCoordinators/Shared%20Documents/General/2026-27/Term%201,%202026-27%20for%20Collaborating%20Units/OGE.xlsx" TargetMode="External"/><Relationship Id="rId1" Type="http://schemas.openxmlformats.org/officeDocument/2006/relationships/externalLinkPath" Target="/sites/ILPCoordinators/Shared%20Documents/General/2026-27/Term%201,%202026-27%20for%20Collaborating%20Units/OGE.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file:///C:\Users\hoiyichan\Downloads\Term%201,26-27\ILP%20Events%20for%20Term%201%202026-27_PFW@23Jul2026.xlsx" TargetMode="External"/><Relationship Id="rId1" Type="http://schemas.openxmlformats.org/officeDocument/2006/relationships/externalLinkPath" Target="file:///C:\Users\hoiyichan\Downloads\Term%201,26-27\ILP%20Events%20for%20Term%201%202026-27_PFW@23Jul2026.xlsx" TargetMode="External"/></Relationships>
</file>

<file path=xl/externalLinks/_rels/externalLink10.xml.rels><?xml version="1.0" encoding="UTF-8" standalone="yes"?>
<Relationships xmlns="http://schemas.openxmlformats.org/package/2006/relationships"><Relationship Id="rId3" Type="http://schemas.openxmlformats.org/officeDocument/2006/relationships/externalLinkPath" Target="../Term%201,%202026-27%20for%20OSA/Copy%20of%20Input%20Template%20for%20OSA%20-%20ILP%20Events%20for%20Term%201%202026-27_FINAL_20260904.xlsx" TargetMode="External"/><Relationship Id="rId2" Type="http://schemas.openxmlformats.org/officeDocument/2006/relationships/externalLinkPath" Target="https://mylingnan.sharepoint.com/sites/ILPCoordinators/Shared%20Documents/General/2026-27/Term%201,%202026-27%20for%20OSA/Copy%20of%20Input%20Template%20for%20OSA%20-%20ILP%20Events%20for%20Term%201%202026-27_FINAL_20260904.xlsx" TargetMode="External"/><Relationship Id="rId1" Type="http://schemas.openxmlformats.org/officeDocument/2006/relationships/externalLinkPath" Target="/sites/ILPCoordinators/Shared%20Documents/General/2026-27/Term%201,%202026-27%20for%20OSA/Copy%20of%20Input%20Template%20for%20OSA%20-%20ILP%20Events%20for%20Term%201%202026-27_FINAL_20260904.xlsx" TargetMode="External"/></Relationships>
</file>

<file path=xl/externalLinks/_rels/externalLink11.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78225c31d1bd7e2c25eab30c975932d9526dd7e20165768b7dd2d42cff476320\cb566854a393c628275dbc8fbc024ff74d1beb1132cb3b605c21c56a864.xlsx" TargetMode="External"/><Relationship Id="rId2" Type="http://schemas.microsoft.com/office/2019/04/relationships/externalLinkLongPath" Target="/Users/nikiho/AppData/Local/Microsoft/Olk/Attachments/ooa-f24b72a6-0779-4012-85e7-a48b65e91668/78225c31d1bd7e2c25eab30c975932d9526dd7e20165768b7dd2d42cff476320/cb566854a393c628275dbc8fbc024ff74d1beb1132cb3b605c21c56a864.xlsx?5DACF60D" TargetMode="External"/><Relationship Id="rId1" Type="http://schemas.openxmlformats.org/officeDocument/2006/relationships/externalLinkPath" Target="file:///\\5DACF60D\cb566854a393c628275dbc8fbc024ff74d1beb1132cb3b605c21c56a864.xlsx" TargetMode="External"/><Relationship Id="rId4" Type="http://schemas.openxmlformats.org/officeDocument/2006/relationships/externalLinkPath" Target="../../../../../../Users/nikiho/AppData/Local/Microsoft/Olk/Attachments/ooa-f24b72a6-0779-4012-85e7-a48b65e91668/78225c31d1bd7e2c25eab30c975932d9526dd7e20165768b7dd2d42cff476320/cb566854a393c628275dbc8fbc024ff74d1beb1132cb3b605c21c56a864.xlsx" TargetMode="External"/></Relationships>
</file>

<file path=xl/externalLinks/_rels/externalLink12.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5f5da4a00c1db30bbc32e81a437cc2bb9bb6f7f8d611b215e9b9cec1d800ee37\f098047adde3e930a71c22a6bf116c0451b86e1bba1dc58b02928a41836.xlsx" TargetMode="External"/><Relationship Id="rId2" Type="http://schemas.microsoft.com/office/2019/04/relationships/externalLinkLongPath" Target="/Users/nikiho/AppData/Local/Microsoft/Olk/Attachments/ooa-f24b72a6-0779-4012-85e7-a48b65e91668/5f5da4a00c1db30bbc32e81a437cc2bb9bb6f7f8d611b215e9b9cec1d800ee37/f098047adde3e930a71c22a6bf116c0451b86e1bba1dc58b02928a41836.xlsx?87B2E465" TargetMode="External"/><Relationship Id="rId1" Type="http://schemas.openxmlformats.org/officeDocument/2006/relationships/externalLinkPath" Target="file:///\\87B2E465\f098047adde3e930a71c22a6bf116c0451b86e1bba1dc58b02928a41836.xlsx" TargetMode="External"/><Relationship Id="rId4" Type="http://schemas.openxmlformats.org/officeDocument/2006/relationships/externalLinkPath" Target="../../../../../../Users/nikiho/AppData/Local/Microsoft/Olk/Attachments/ooa-f24b72a6-0779-4012-85e7-a48b65e91668/5f5da4a00c1db30bbc32e81a437cc2bb9bb6f7f8d611b215e9b9cec1d800ee37/f098047adde3e930a71c22a6bf116c0451b86e1bba1dc58b02928a41836.xlsx" TargetMode="External"/></Relationships>
</file>

<file path=xl/externalLinks/_rels/externalLink13.xml.rels><?xml version="1.0" encoding="UTF-8" standalone="yes"?>
<Relationships xmlns="http://schemas.openxmlformats.org/package/2006/relationships"><Relationship Id="rId3" Type="http://schemas.openxmlformats.org/officeDocument/2006/relationships/externalLinkPath" Target="../Term%201,%202026-27%20for%20Collaborating%20Units/CEAL.xlsx" TargetMode="External"/><Relationship Id="rId2" Type="http://schemas.openxmlformats.org/officeDocument/2006/relationships/externalLinkPath" Target="https://mylingnan.sharepoint.com/sites/ILPCoordinators/Shared%20Documents/General/2026-27/Term%201,%202026-27%20for%20Collaborating%20Units/CEAL.xlsx" TargetMode="External"/><Relationship Id="rId1" Type="http://schemas.openxmlformats.org/officeDocument/2006/relationships/externalLinkPath" Target="/sites/ILPCoordinators/Shared%20Documents/General/2026-27/Term%201,%202026-27%20for%20Collaborating%20Units/CEAL.xlsx"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file:///C:\Users\hoiyichan\Downloads\Term%201,26-27\Michelle_ILP%20Events%20for%20Term%201%202026-27%20(AES)_V1.xlsx" TargetMode="External"/><Relationship Id="rId1" Type="http://schemas.openxmlformats.org/officeDocument/2006/relationships/externalLinkPath" Target="file:///C:\Users\hoiyichan\Downloads\Term%201,26-27\Michelle_ILP%20Events%20for%20Term%201%202026-27%20(AES)_V1.xlsx" TargetMode="External"/></Relationships>
</file>

<file path=xl/externalLinks/_rels/externalLink15.xml.rels><?xml version="1.0" encoding="UTF-8" standalone="yes"?>
<Relationships xmlns="http://schemas.openxmlformats.org/package/2006/relationships"><Relationship Id="rId3" Type="http://schemas.openxmlformats.org/officeDocument/2006/relationships/externalLinkPath" Target="../Term%201,%202026-27%20for%20OSA/Old/Copy%20of%20Input%20Template%20for%20OSA%20-%20ILP%20Events%20for%20Term%201%202026-27_FINAL_20260825.xlsx" TargetMode="External"/><Relationship Id="rId2" Type="http://schemas.openxmlformats.org/officeDocument/2006/relationships/externalLinkPath" Target="https://mylingnan.sharepoint.com/sites/ILPCoordinators/Shared%20Documents/General/2026-27/Term%201,%202026-27%20for%20OSA/Old/Copy%20of%20Input%20Template%20for%20OSA%20-%20ILP%20Events%20for%20Term%201%202026-27_FINAL_20260825.xlsx" TargetMode="External"/><Relationship Id="rId1" Type="http://schemas.openxmlformats.org/officeDocument/2006/relationships/externalLinkPath" Target="/sites/ILPCoordinators/Shared%20Documents/General/2026-27/Term%201,%202026-27%20for%20OSA/Old/Copy%20of%20Input%20Template%20for%20OSA%20-%20ILP%20Events%20for%20Term%201%202026-27_FINAL_20260825.xlsx" TargetMode="External"/></Relationships>
</file>

<file path=xl/externalLinks/_rels/externalLink16.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858459eb34b9f225336a75e88693f44cebc7881e129ec42bf402c336a1b857d9\Year%20Plan%20of%20SEN%20ILP%20Events%20for%20Term%201%202026-27-SEN.xlsx" TargetMode="External"/><Relationship Id="rId2" Type="http://schemas.microsoft.com/office/2019/04/relationships/externalLinkLongPath" Target="/Users/nikiho/AppData/Local/Microsoft/Olk/Attachments/ooa-f24b72a6-0779-4012-85e7-a48b65e91668/858459eb34b9f225336a75e88693f44cebc7881e129ec42bf402c336a1b857d9/Year%20Plan%20of%20SEN%20ILP%20Events%20for%20Term%201%202026-27-SEN.xlsx?E4503DD2" TargetMode="External"/><Relationship Id="rId1" Type="http://schemas.openxmlformats.org/officeDocument/2006/relationships/externalLinkPath" Target="file:///\\E4503DD2\Year%20Plan%20of%20SEN%20ILP%20Events%20for%20Term%201%202026-27-SEN.xlsx" TargetMode="External"/><Relationship Id="rId4" Type="http://schemas.openxmlformats.org/officeDocument/2006/relationships/externalLinkPath" Target="../../../../../../Users/nikiho/AppData/Local/Microsoft/Olk/Attachments/ooa-f24b72a6-0779-4012-85e7-a48b65e91668/858459eb34b9f225336a75e88693f44cebc7881e129ec42bf402c336a1b857d9/Year%20Plan%20of%20SEN%20ILP%20Events%20for%20Term%201%202026-27-SEN.xlsx" TargetMode="External"/></Relationships>
</file>

<file path=xl/externalLinks/_rels/externalLink17.xml.rels><?xml version="1.0" encoding="UTF-8" standalone="yes"?>
<Relationships xmlns="http://schemas.openxmlformats.org/package/2006/relationships"><Relationship Id="rId3" Type="http://schemas.openxmlformats.org/officeDocument/2006/relationships/externalLinkPath" Target="../Term%201,%202026-27%20for%20WOs/Hall%20A%20-%20Input%20Template%20for%20WOs%20-%20ILP%20Events%20for%20Term%201%202026-27.xlsx" TargetMode="External"/><Relationship Id="rId2" Type="http://schemas.openxmlformats.org/officeDocument/2006/relationships/externalLinkPath" Target="https://mylingnan.sharepoint.com/sites/ILPCoordinators/Shared%20Documents/General/2026-27/Term%201,%202026-27%20for%20WOs/Hall%20A%20-%20Input%20Template%20for%20WOs%20-%20ILP%20Events%20for%20Term%201%202026-27.xlsx" TargetMode="External"/><Relationship Id="rId1" Type="http://schemas.openxmlformats.org/officeDocument/2006/relationships/externalLinkPath" Target="/sites/ILPCoordinators/Shared%20Documents/General/2026-27/Term%201,%202026-27%20for%20WOs/Hall%20A%20-%20Input%20Template%20for%20WOs%20-%20ILP%20Events%20for%20Term%201%202026-27.xlsx" TargetMode="External"/></Relationships>
</file>

<file path=xl/externalLinks/_rels/externalLink18.xml.rels><?xml version="1.0" encoding="UTF-8" standalone="yes"?>
<Relationships xmlns="http://schemas.openxmlformats.org/package/2006/relationships"><Relationship Id="rId3" Type="http://schemas.openxmlformats.org/officeDocument/2006/relationships/externalLinkPath" Target="../Term%201,%202026-27%20for%20WOs/Hall%20B%20-%20Input%20Template%20for%20WOs%20-%20ILP%20Events%20for%20Term%201%202026-27.xlsx" TargetMode="External"/><Relationship Id="rId2" Type="http://schemas.openxmlformats.org/officeDocument/2006/relationships/externalLinkPath" Target="https://mylingnan.sharepoint.com/sites/ILPCoordinators/Shared%20Documents/General/2026-27/Term%201,%202026-27%20for%20WOs/Hall%20B%20-%20Input%20Template%20for%20WOs%20-%20ILP%20Events%20for%20Term%201%202026-27.xlsx" TargetMode="External"/><Relationship Id="rId1" Type="http://schemas.openxmlformats.org/officeDocument/2006/relationships/externalLinkPath" Target="/sites/ILPCoordinators/Shared%20Documents/General/2026-27/Term%201,%202026-27%20for%20WOs/Hall%20B%20-%20Input%20Template%20for%20WOs%20-%20ILP%20Events%20for%20Term%201%202026-27.xlsx" TargetMode="External"/></Relationships>
</file>

<file path=xl/externalLinks/_rels/externalLink19.xml.rels><?xml version="1.0" encoding="UTF-8" standalone="yes"?>
<Relationships xmlns="http://schemas.openxmlformats.org/package/2006/relationships"><Relationship Id="rId3" Type="http://schemas.openxmlformats.org/officeDocument/2006/relationships/externalLinkPath" Target="../Term%201,%202026-27%20for%20WOs/Hall%20C%20-%20Input%20Template%20for%20WOs%20-%20ILP%20Events%20for%20Term%201%202026-27.xlsx" TargetMode="External"/><Relationship Id="rId2" Type="http://schemas.openxmlformats.org/officeDocument/2006/relationships/externalLinkPath" Target="https://mylingnan.sharepoint.com/sites/ILPCoordinators/Shared%20Documents/General/2026-27/Term%201,%202026-27%20for%20WOs/Hall%20C%20-%20Input%20Template%20for%20WOs%20-%20ILP%20Events%20for%20Term%201%202026-27.xlsx" TargetMode="External"/><Relationship Id="rId1" Type="http://schemas.openxmlformats.org/officeDocument/2006/relationships/externalLinkPath" Target="/sites/ILPCoordinators/Shared%20Documents/General/2026-27/Term%201,%202026-27%20for%20WOs/Hall%20C%20-%20Input%20Template%20for%20WOs%20-%20ILP%20Events%20for%20Term%201%202026-27.xlsx" TargetMode="External"/></Relationships>
</file>

<file path=xl/externalLinks/_rels/externalLink20.xml.rels><?xml version="1.0" encoding="UTF-8" standalone="yes"?>
<Relationships xmlns="http://schemas.openxmlformats.org/package/2006/relationships"><Relationship Id="rId2" Type="http://schemas.openxmlformats.org/officeDocument/2006/relationships/externalLinkPath" Target="file:///G:\ILP\Term%201,26-27\Listed\RE_Input%20Template%20for%20OSA%20-%20ILP%20Events%20for%20Term%201%202026-27.xlsx" TargetMode="External"/><Relationship Id="rId1" Type="http://schemas.openxmlformats.org/officeDocument/2006/relationships/externalLinkPath" Target="RE_Input%20Template%20for%20OSA%20-%20ILP%20Events%20for%20Term%201%202026-27.xlsx" TargetMode="External"/></Relationships>
</file>

<file path=xl/externalLinks/_rels/externalLink21.xml.rels><?xml version="1.0" encoding="UTF-8" standalone="yes"?>
<Relationships xmlns="http://schemas.openxmlformats.org/package/2006/relationships"><Relationship Id="rId2" Type="http://schemas.openxmlformats.org/officeDocument/2006/relationships/externalLinkPath" Target="file:///C:\Users\hoiyichan\AppData\Local\Microsoft\Windows\INetCache\Content.Outlook\85RGMFF4\ILP%20Course%20Proposal%202026-27%20for%20LWD%20Hall%20D%20revised.xlsx" TargetMode="External"/><Relationship Id="rId1" Type="http://schemas.openxmlformats.org/officeDocument/2006/relationships/externalLinkPath" Target="file:///C:\Users\hoiyichan\AppData\Local\Microsoft\Windows\INetCache\Content.Outlook\85RGMFF4\ILP%20Course%20Proposal%202026-27%20for%20LWD%20Hall%20D%20revised.xlsx" TargetMode="External"/></Relationships>
</file>

<file path=xl/externalLinks/_rels/externalLink22.xml.rels><?xml version="1.0" encoding="UTF-8" standalone="yes"?>
<Relationships xmlns="http://schemas.openxmlformats.org/package/2006/relationships"><Relationship Id="rId3" Type="http://schemas.openxmlformats.org/officeDocument/2006/relationships/externalLinkPath" Target="../Term%201,%202026-27%20for%20WOs/Hall%20G%20-%20Input%20Template%20for%20WOs%20-%20ILP%20Events%20for%20Term%201%202026-27_20260803.xlsx" TargetMode="External"/><Relationship Id="rId2" Type="http://schemas.openxmlformats.org/officeDocument/2006/relationships/externalLinkPath" Target="https://mylingnan.sharepoint.com/sites/ILPCoordinators/Shared%20Documents/General/2026-27/Term%201,%202026-27%20for%20WOs/Hall%20G%20-%20Input%20Template%20for%20WOs%20-%20ILP%20Events%20for%20Term%201%202026-27_20260803.xlsx" TargetMode="External"/><Relationship Id="rId1" Type="http://schemas.openxmlformats.org/officeDocument/2006/relationships/externalLinkPath" Target="/sites/ILPCoordinators/Shared%20Documents/General/2026-27/Term%201,%202026-27%20for%20WOs/Hall%20G%20-%20Input%20Template%20for%20WOs%20-%20ILP%20Events%20for%20Term%201%202026-27_202608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refreshError="1"/>
      <sheetData sheetId="1" refreshError="1"/>
      <sheetData sheetId="2" refreshError="1"/>
      <sheetData sheetId="3" refreshError="1"/>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BSPTHJKO6L5GIPNAUXM766ZFA">
      <xxl21:absoluteUrl r:id="rId2"/>
      <xxl21:relativeUrl r:id="rId3"/>
    </xxl21:alternateUrls>
    <sheetNames>
      <sheetName val="SAMPLE"/>
      <sheetName val="CPO (For OSA)"/>
      <sheetName val="Learning Attributes (Ref)"/>
      <sheetName val="Room Information"/>
      <sheetName val="List"/>
      <sheetName val="CPO"/>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N7WUJLEXDVA5E2QW3PKY7CRPUZ">
      <xxl21:absoluteUrl r:id="rId2"/>
      <xxl21:relativeUrl r:id="rId3"/>
    </xxl21:alternateUrls>
    <sheetNames>
      <sheetName val="SAMPLE"/>
      <sheetName val="INPUT Template (For OSA)"/>
      <sheetName val="Learning Attributes (Ref)"/>
      <sheetName val="Room Information"/>
      <sheetName val="List"/>
      <sheetName val="DoS"/>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OK7KQJIFPESBEITCEELJN64XZ6">
      <xxl21:absoluteUrl r:id="rId2"/>
      <xxl21:relativeUrl r:id="rId3"/>
    </xxl21:alternateUrls>
    <sheetNames>
      <sheetName val="SAMPLE"/>
      <sheetName val="INPUT Template (For OSA)"/>
      <sheetName val="Room Information"/>
      <sheetName val="List"/>
      <sheetName val="Learning Attributes (Ref)"/>
      <sheetName val="LIB"/>
    </sheetNames>
    <sheetDataSet>
      <sheetData sheetId="0"/>
      <sheetData sheetId="1"/>
      <sheetData sheetId="2"/>
      <sheetData sheetId="3">
        <row r="7">
          <cell r="A7" t="str">
            <v>Civic Education and Leadership Development</v>
          </cell>
        </row>
      </sheetData>
      <sheetData sheetId="4"/>
      <sheetData sheetId="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A5TAF2II7WRDIGIYVNU53J2OI">
      <xxl21:absoluteUrl r:id="rId2"/>
      <xxl21:relativeUrl r:id="rId3"/>
    </xxl21:alternateUrls>
    <sheetNames>
      <sheetName val="SAMPLE"/>
      <sheetName val="INPUT Template (For OSA)"/>
      <sheetName val="Learning Attributes (Ref)"/>
      <sheetName val="Room Information"/>
      <sheetName val="List"/>
      <sheetName val="OCC"/>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WIMBX5IHAPNELBI5MQQVTSR7U">
      <xxl21:absoluteUrl r:id="rId2"/>
      <xxl21:relativeUrl r:id="rId3"/>
    </xxl21:alternateUrls>
    <sheetNames>
      <sheetName val="SAMPLE"/>
      <sheetName val="INPUT Template (For OSA)"/>
      <sheetName val="Learning Attributes (Ref)"/>
      <sheetName val="Room Information"/>
      <sheetName val="List"/>
      <sheetName val="OSL"/>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CAEBZQUUUXRGYBJ7RBH65JAED">
      <xxl21:absoluteUrl r:id="rId2"/>
      <xxl21:relativeUrl r:id="rId3"/>
    </xxl21:alternateUrls>
    <sheetNames>
      <sheetName val="SAMPLE"/>
      <sheetName val="INPUT Template (For OSA)"/>
      <sheetName val="Learning Attributes (Ref)"/>
      <sheetName val="Room Information"/>
      <sheetName val="List"/>
      <sheetName val="Ivy - ILP Events for Term 1 202"/>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 sheetId="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KDLRRGXK364ZB3ZL3USXQ7OMHX">
      <xxl21:absoluteUrl r:id="rId2"/>
      <xxl21:relativeUrl r:id="rId3"/>
    </xxl21:alternateUrls>
    <sheetNames>
      <sheetName val="SAMPLE"/>
      <sheetName val="INPUT Template (For OSA)"/>
      <sheetName val="Learning Attributes (Ref)"/>
      <sheetName val="Room Information"/>
      <sheetName val="List"/>
      <sheetName val="OGE"/>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JLS2IJDLEC6VDJYLXLKKSN2OIA">
      <xxl21:absoluteUrl r:id="rId2"/>
      <xxl21:relativeUrl r:id="rId3"/>
    </xxl21:alternateUrls>
    <sheetNames>
      <sheetName val="SAMPLE"/>
      <sheetName val="Counselling 26-27 Sem 1"/>
      <sheetName val="SEN 26-27 Sem 1"/>
      <sheetName val="Learning Attributes (Ref)"/>
      <sheetName val="Room Information"/>
      <sheetName val="List"/>
    </sheetNames>
    <sheetDataSet>
      <sheetData sheetId="0"/>
      <sheetData sheetId="1"/>
      <sheetData sheetId="2"/>
      <sheetData sheetId="3"/>
      <sheetData sheetId="4"/>
      <sheetData sheetId="5">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SAMPLE"/>
      <sheetName val="INPUT Template (For OSA)"/>
      <sheetName val="Index"/>
      <sheetName val="Learning Attributes (Ref)"/>
      <sheetName val="Room Information"/>
      <sheetName val="List"/>
      <sheetName val="cb566854a393c628275dbc8fbc024ff"/>
    </sheetNames>
    <sheetDataSet>
      <sheetData sheetId="0"/>
      <sheetData sheetId="1"/>
      <sheetData sheetId="2"/>
      <sheetData sheetId="3"/>
      <sheetData sheetId="4"/>
      <sheetData sheetId="5"/>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SAMPLE"/>
      <sheetName val="INPUT Template (For OSA)"/>
      <sheetName val="Learning Attributes (Ref)"/>
      <sheetName val="Room Information"/>
      <sheetName val="List"/>
      <sheetName val="f098047adde3e930a71c22a6bf116c0"/>
    </sheetNames>
    <sheetDataSet>
      <sheetData sheetId="0" refreshError="1"/>
      <sheetData sheetId="1"/>
      <sheetData sheetId="2" refreshError="1"/>
      <sheetData sheetId="3" refreshError="1"/>
      <sheetData sheetId="4"/>
      <sheetData sheetId="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5AVVDSSHB7JF2K3R4TYSLIOFV">
      <xxl21:absoluteUrl r:id="rId2"/>
      <xxl21:relativeUrl r:id="rId3"/>
    </xxl21:alternateUrls>
    <sheetNames>
      <sheetName val="SAMPLE"/>
      <sheetName val="INPUT Template (For OSA)"/>
      <sheetName val="Learning Attributes (Ref)"/>
      <sheetName val="Room Information"/>
      <sheetName val="List"/>
      <sheetName val="CEAL"/>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VN2WJBNVURZA35GD5DARTYWGU">
      <xxl21:absoluteUrl r:id="rId2"/>
      <xxl21:relativeUrl r:id="rId3"/>
    </xxl21:alternateUrls>
    <sheetNames>
      <sheetName val="SAMPLE"/>
      <sheetName val="Counselling 26-27 Sem 1"/>
      <sheetName val="SEN 26-27 Sem 1"/>
      <sheetName val="Learning Attributes (Ref)"/>
      <sheetName val="Room Information"/>
      <sheetName val="List"/>
      <sheetName val="Copy of Input Template for OSA "/>
    </sheetNames>
    <sheetDataSet>
      <sheetData sheetId="0"/>
      <sheetData sheetId="1"/>
      <sheetData sheetId="2"/>
      <sheetData sheetId="3"/>
      <sheetData sheetId="4"/>
      <sheetData sheetId="5"/>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PGR57ZPB2BFRCLMQTSRNMB3RDT">
      <xxl21:absoluteUrl r:id="rId2"/>
      <xxl21:relativeUrl r:id="rId3"/>
    </xxl21:alternateUrls>
    <sheetNames>
      <sheetName val="SAMPLE"/>
      <sheetName val="INPUT Template (For OSA)"/>
      <sheetName val="Learning Attributes (Ref)"/>
      <sheetName val="Room Information"/>
      <sheetName val="List"/>
      <sheetName val="Hall A - Input Template for WOs"/>
    </sheetNames>
    <sheetDataSet>
      <sheetData sheetId="0"/>
      <sheetData sheetId="1"/>
      <sheetData sheetId="2"/>
      <sheetData sheetId="3"/>
      <sheetData sheetId="4"/>
      <sheetData sheetId="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QPUY4NUZDVFH3LMVBFPMANT74">
      <xxl21:absoluteUrl r:id="rId2"/>
      <xxl21:relativeUrl r:id="rId3"/>
    </xxl21:alternateUrls>
    <sheetNames>
      <sheetName val="SAMPLE"/>
      <sheetName val="INPUT Template (For OSA)"/>
      <sheetName val="Learning Attributes (Ref)"/>
      <sheetName val="Room Information"/>
      <sheetName val="List"/>
      <sheetName val="Hall B - Input Template for WOs"/>
    </sheetNames>
    <sheetDataSet>
      <sheetData sheetId="0"/>
      <sheetData sheetId="1"/>
      <sheetData sheetId="2"/>
      <sheetData sheetId="3"/>
      <sheetData sheetId="4"/>
      <sheetData sheetId="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NGVZVWMRLQTFBKS2ZVQLDNBZKP">
      <xxl21:absoluteUrl r:id="rId2"/>
      <xxl21:relativeUrl r:id="rId3"/>
    </xxl21:alternateUrls>
    <sheetNames>
      <sheetName val="SAMPLE"/>
      <sheetName val="INPUT Template (For OSA)"/>
      <sheetName val="Learning Attributes (Ref)"/>
      <sheetName val="Room Information"/>
      <sheetName val="List"/>
      <sheetName val="Hall C - Input Template for WOs"/>
    </sheetNames>
    <sheetDataSet>
      <sheetData sheetId="0"/>
      <sheetData sheetId="1"/>
      <sheetData sheetId="2"/>
      <sheetData sheetId="3"/>
      <sheetData sheetId="4"/>
      <sheetData sheetId="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refreshError="1"/>
      <sheetData sheetId="1" refreshError="1"/>
      <sheetData sheetId="2" refreshError="1"/>
      <sheetData sheetId="3" refreshError="1"/>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 val="ILP Course Proposal 2026-27 for"/>
    </sheetNames>
    <sheetDataSet>
      <sheetData sheetId="0" refreshError="1"/>
      <sheetData sheetId="1"/>
      <sheetData sheetId="2" refreshError="1"/>
      <sheetData sheetId="3" refreshError="1"/>
      <sheetData sheetId="4"/>
      <sheetData sheetId="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J52W3MWGXW4FGYCKHESOR72UOD">
      <xxl21:absoluteUrl r:id="rId2"/>
      <xxl21:relativeUrl r:id="rId3"/>
    </xxl21:alternateUrls>
    <sheetNames>
      <sheetName val="SAMPLE"/>
      <sheetName val="INPUT Template (For OSA)"/>
      <sheetName val="Learning Attributes (Ref)"/>
      <sheetName val="Room Information"/>
      <sheetName val="List"/>
      <sheetName val="Hall G - Input Template for WOs"/>
    </sheetNames>
    <sheetDataSet>
      <sheetData sheetId="0"/>
      <sheetData sheetId="1"/>
      <sheetData sheetId="2"/>
      <sheetData sheetId="3"/>
      <sheetData sheetId="4"/>
      <sheetData sheetId="5" refreshError="1"/>
    </sheetDataSet>
  </externalBook>
</externalLink>
</file>

<file path=xl/persons/person.xml><?xml version="1.0" encoding="utf-8"?>
<personList xmlns="http://schemas.microsoft.com/office/spreadsheetml/2018/threadedcomments" xmlns:x="http://schemas.openxmlformats.org/spreadsheetml/2006/mai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6" xr16:uid="{5CBD4949-134A-4D64-9186-3FA76B86B202}" autoFormatId="16" applyNumberFormats="0" applyBorderFormats="0" applyFontFormats="0" applyPatternFormats="0" applyAlignmentFormats="0" applyWidthHeightFormats="0">
  <queryTableRefresh nextId="188" unboundColumnsRight="4">
    <queryTableFields count="117">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7" dataBound="0" tableColumnId="4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connectionId="3" xr16:uid="{0C6485DB-C22F-4F07-AE1F-0C7786DF8894}" autoFormatId="16" applyNumberFormats="0" applyBorderFormats="0" applyFontFormats="0" applyPatternFormats="0" applyAlignmentFormats="0" applyWidthHeightFormats="0">
  <queryTableRefresh nextId="188" unboundColumnsRight="4">
    <queryTableFields count="117">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7" dataBound="0" tableColumnId="4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1" connectionId="1" xr16:uid="{EA5706B6-BD77-41A3-922E-9BEFC1568E5B}" autoFormatId="16" applyNumberFormats="0" applyBorderFormats="0" applyFontFormats="0" applyPatternFormats="0" applyAlignmentFormats="0" applyWidthHeightFormats="0">
  <queryTableRefresh nextId="188" unboundColumnsRight="4">
    <queryTableFields count="117">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7" dataBound="0" tableColumnId="4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1" connectionId="7" xr16:uid="{271FC1C3-9B67-4FF2-94EF-3B20C2F21D87}" autoFormatId="16" applyNumberFormats="0" applyBorderFormats="0" applyFontFormats="0" applyPatternFormats="0" applyAlignmentFormats="0" applyWidthHeightFormats="0">
  <queryTableRefresh nextId="189" unboundColumnsRight="4">
    <queryTableFields count="117">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8" dataBound="0" tableColumnId="4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1" connectionId="2" xr16:uid="{2E7BD7CD-FC5C-4EE0-A83E-9A15C7E15C80}" autoFormatId="16" applyNumberFormats="0" applyBorderFormats="0" applyFontFormats="0" applyPatternFormats="0" applyAlignmentFormats="0" applyWidthHeightFormats="0">
  <queryTableRefresh nextId="188" unboundColumnsRight="4">
    <queryTableFields count="117">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7" dataBound="0" tableColumnId="4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ExternalData_1" connectionId="5" xr16:uid="{315F1EF6-BEF1-46D8-AF04-B444A5DF8240}" autoFormatId="16" applyNumberFormats="0" applyBorderFormats="0" applyFontFormats="0" applyPatternFormats="0" applyAlignmentFormats="0" applyWidthHeightFormats="0">
  <queryTableRefresh nextId="188" unboundColumnsRight="4">
    <queryTableFields count="117">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7" dataBound="0" tableColumnId="4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9454013-DE7E-4418-B345-714DC2D2CA36}" name="Sheet_1_Table_1_137" displayName="Sheet_1_Table_1_137" ref="B2:DN51" tableType="queryTable" totalsRowShown="0" headerRowDxfId="723" dataDxfId="721" headerRowBorderDxfId="722" tableBorderDxfId="720" totalsRowBorderDxfId="719">
  <autoFilter ref="B2:DN51" xr:uid="{A40E3A6D-1066-4C6D-8DC4-5DAEE3358E36}"/>
  <tableColumns count="117">
    <tableColumn id="1" xr3:uid="{D7748788-3A4F-4A30-9681-6DA0F85D494A}" uniqueName="1" name="Term" queryTableFieldId="1" dataDxfId="718"/>
    <tableColumn id="2" xr3:uid="{077DBD3B-B5E8-47E1-A473-8610EA217896}" uniqueName="2" name="Course Code" queryTableFieldId="2" dataDxfId="717"/>
    <tableColumn id="3" xr3:uid="{F02E0845-4570-4395-8D12-30E7255DBD82}" uniqueName="3" name="Part of Terms" queryTableFieldId="3" dataDxfId="716"/>
    <tableColumn id="4" xr3:uid="{D4DE6E12-4E69-45B6-9570-016962D26AFA}" uniqueName="4" name="CRN" queryTableFieldId="4" dataDxfId="715"/>
    <tableColumn id="59" xr3:uid="{5545B1B9-ACBF-4BA1-B60F-FF9BC37066ED}" uniqueName="59" name="Department / Unit" queryTableFieldId="59" dataDxfId="714"/>
    <tableColumn id="33" xr3:uid="{D81E72FE-A02B-4E24-B430-30FF2896B80F}" uniqueName="33" name="Team" queryTableFieldId="176" dataDxfId="713"/>
    <tableColumn id="5" xr3:uid="{0E84BBB8-C1F9-45A4-A2AC-75084D22C124}" uniqueName="5" name="Series Name (Chi)" queryTableFieldId="5" dataDxfId="712"/>
    <tableColumn id="6" xr3:uid="{AEAC1B02-0EEA-400B-9D37-494D62EE6748}" uniqueName="6" name="Series Name (Eng)" queryTableFieldId="6" dataDxfId="711"/>
    <tableColumn id="7" xr3:uid="{4F22E275-9351-4CE2-A19D-90FD128A590D}" uniqueName="7" name="Activity Title (Chi)" queryTableFieldId="7" dataDxfId="710"/>
    <tableColumn id="8" xr3:uid="{528C9D2A-FAAC-41FA-B8D1-C627373226B1}" uniqueName="8" name="Activity Title (Eng)" queryTableFieldId="8" dataDxfId="709"/>
    <tableColumn id="57" xr3:uid="{35E894F4-7792-44EF-830A-BA9267DEC81C}" uniqueName="57" name="Session Title" queryTableFieldId="57" dataDxfId="708"/>
    <tableColumn id="9" xr3:uid="{E3247E3B-C5D2-4DB1-A9E5-1377A5277F43}" uniqueName="9" name="Objectives / Expected Learning Outcomes (Eng)" queryTableFieldId="9" dataDxfId="707"/>
    <tableColumn id="10" xr3:uid="{5DC2DC5C-E650-479A-8505-5A74B5452896}" uniqueName="10" name="Description (Eng)" queryTableFieldId="10" dataDxfId="706"/>
    <tableColumn id="55" xr3:uid="{E8C8CC39-AF79-4015-B065-5FA9968E9A67}" uniqueName="55" name="Include in Online Registration? _x000a_(Y/N)" queryTableFieldId="55" dataDxfId="705"/>
    <tableColumn id="44" xr3:uid="{828EAD3E-4A90-4091-9B2F-0540E68EACCB}" uniqueName="44" name="Send Auto-reminder? _x000a_(Y/N)" queryTableFieldId="178" dataDxfId="704"/>
    <tableColumn id="75" xr3:uid="{840161F4-C134-4388-9B81-0ED44D8714DE}" uniqueName="75" name="Learning Domain" queryTableFieldId="76" dataDxfId="703"/>
    <tableColumn id="11" xr3:uid="{9049CF41-AD47-487C-820B-AE446578038F}" uniqueName="11" name="Learning Domain (Short)" queryTableFieldId="11" dataDxfId="702"/>
    <tableColumn id="12" xr3:uid="{1CBF9600-AA04-47F3-8AC0-D001BDDAD4B4}" uniqueName="12" name="Leadership LS" queryTableFieldId="12" dataDxfId="701"/>
    <tableColumn id="13" xr3:uid="{2F03DA5D-6362-4E22-A171-B099DB75C293}" uniqueName="13" name="Entrepreneurship ENT" queryTableFieldId="13" dataDxfId="700"/>
    <tableColumn id="14" xr3:uid="{38129F18-E3F1-492C-8017-A0B0C110E25A}" uniqueName="14" name="Well-being (Physical) WBP" queryTableFieldId="14" dataDxfId="699"/>
    <tableColumn id="15" xr3:uid="{48F47765-049A-41B4-968D-91D6C81BD79E}" uniqueName="15" name="Well-being (Mental) WBM" queryTableFieldId="15" dataDxfId="698"/>
    <tableColumn id="16" xr3:uid="{61AFAC1B-4E93-4249-9B58-9AC7F9692D83}" uniqueName="16" name="Language Enhancement LE" queryTableFieldId="16" dataDxfId="697"/>
    <tableColumn id="17" xr3:uid="{5556ED20-28B1-4E23-B642-C74B8790B0D5}" uniqueName="17" name="Cross-Cultural Appreciation_x000a_&amp; Integration CCAI" queryTableFieldId="17" dataDxfId="696"/>
    <tableColumn id="18" xr3:uid="{417B9DA7-97BB-4B24-807B-595DE68AAD85}" uniqueName="18" name="Sustainability SUS" queryTableFieldId="18" dataDxfId="695"/>
    <tableColumn id="19" xr3:uid="{0D4423B5-07A2-4860-88E4-1F1FB6C68889}" uniqueName="19" name="Digital Literacy DL" queryTableFieldId="19" dataDxfId="694"/>
    <tableColumn id="20" xr3:uid="{6D5C3994-3849-4219-AB2A-6F6E9C48394B}" uniqueName="20" name="Career Development  CR" queryTableFieldId="20" dataDxfId="693"/>
    <tableColumn id="22" xr3:uid="{956CD75C-7505-4DAA-A858-BFDACDA44974}" uniqueName="22" name="Total" queryTableFieldId="22" dataDxfId="692"/>
    <tableColumn id="106" xr3:uid="{43A0F816-A899-46C0-9293-399AA28CB75C}" uniqueName="106" name="Programme Type" queryTableFieldId="110" dataDxfId="691"/>
    <tableColumn id="23" xr3:uid="{774ECFEB-A824-4104-BB1D-7A4BBEEB3497}" uniqueName="23" name="Delivery Mode" queryTableFieldId="23" dataDxfId="690"/>
    <tableColumn id="24" xr3:uid="{C62B0C86-6DB8-473B-A6FC-0490C3374A1C}" uniqueName="24" name="Medium_x000a_of Instruction_x000a_(ENG)" queryTableFieldId="24" dataDxfId="689"/>
    <tableColumn id="77" xr3:uid="{4C1343D4-F660-46DA-91D7-8FD39B05EC37}" uniqueName="77" name="Medium_x000a_of Instruction_x000a_(Cantonese)" queryTableFieldId="78" dataDxfId="688"/>
    <tableColumn id="76" xr3:uid="{D7811E76-917F-467A-9496-A9E79CC395A7}" uniqueName="76" name="Medium_x000a_of Instruction_x000a_(PTH)" queryTableFieldId="77" dataDxfId="687"/>
    <tableColumn id="26" xr3:uid="{EF664E21-C2D2-4B85-8849-5B0023959F00}" uniqueName="26" name="ILP Units Per Session" queryTableFieldId="26" dataDxfId="686"/>
    <tableColumn id="27" xr3:uid="{9A612552-23B6-46C8-87A5-4CE08ADB3163}" uniqueName="27" name="Quota" queryTableFieldId="27" dataDxfId="685"/>
    <tableColumn id="28" xr3:uid="{6198BDC7-1DED-43E2-860F-479C51887E77}" uniqueName="28" name="Total Units to be Offered" queryTableFieldId="28" dataDxfId="684"/>
    <tableColumn id="29" xr3:uid="{1035825E-EE62-4A69-8BF5-10CABE6E3396}" uniqueName="29" name="Lesson 1 _x000a_Date _x000a_(DD-MMM-YYYY)" queryTableFieldId="29" dataDxfId="683"/>
    <tableColumn id="105" xr3:uid="{2C28B08A-5CB6-4164-9871-2F4AEB61060D}" uniqueName="105" name="Lesson 1 (DOW)" queryTableFieldId="109" dataDxfId="682">
      <calculatedColumnFormula>WEEKDAY(Sheet_1_Table_1_137[[#This Row],[Lesson 1 
Date 
(DD-MMM-YYYY)]])</calculatedColumnFormula>
    </tableColumn>
    <tableColumn id="103" xr3:uid="{AF4D5235-07FE-45C7-A108-A9CC27FBD25E}" uniqueName="103" name="Lesson 1 _x000a_Start Time_x000a_(HH:MM)" queryTableFieldId="107" dataDxfId="681"/>
    <tableColumn id="56" xr3:uid="{E1D8545A-08B8-4ED9-B491-E1847EAEE6EC}" uniqueName="56" name="Lesson 1_x000a_End Time_x000a_(HH:MM)" queryTableFieldId="163" dataDxfId="680"/>
    <tableColumn id="58" xr3:uid="{86F1EB32-F83D-42E8-97C8-AB1C58999B37}" uniqueName="58" name="Lesson 1 _x000a_Venue" queryTableFieldId="58" dataDxfId="679"/>
    <tableColumn id="113" xr3:uid="{A67A8570-6DD6-46CF-9685-0A3C5B2C84D0}" uniqueName="113" name="Lesson 2_x000a_Date _x000a_(DD-MMM-YYYY)" queryTableFieldId="120" dataDxfId="678"/>
    <tableColumn id="114" xr3:uid="{33C08BF5-0924-41B2-8143-09ACEA94978D}" uniqueName="114" name="Lesson 2 (DOW)" queryTableFieldId="119" dataDxfId="677">
      <calculatedColumnFormula>WEEKDAY(Sheet_1_Table_1_137[[#This Row],[Lesson 1 
Date 
(DD-MMM-YYYY)]])</calculatedColumnFormula>
    </tableColumn>
    <tableColumn id="115" xr3:uid="{2199361E-D981-49DF-A175-2F52A017AF1D}" uniqueName="115" name="Lesson 2_x000a_Start Time_x000a_(HH:MM)" queryTableFieldId="118" dataDxfId="676"/>
    <tableColumn id="60" xr3:uid="{66B4A5EA-26B9-40C9-AC34-FFFB22B0311C}" uniqueName="60" name="Lesson 2_x000a_End Time_x000a_(HH:MM)" queryTableFieldId="164" dataDxfId="675"/>
    <tableColumn id="116" xr3:uid="{CDD459D2-C3E6-477C-9BD1-E53F061DD3F4}" uniqueName="116" name="Lesson 2_x000a_ Venue" queryTableFieldId="117" dataDxfId="674"/>
    <tableColumn id="104" xr3:uid="{593B6CAF-5566-4E60-8ABB-0F8DB90EC7B0}" uniqueName="104" name="Lesson 3_x000a_Date _x000a_(DD-MMM-YYYY)" queryTableFieldId="108" dataDxfId="673"/>
    <tableColumn id="112" xr3:uid="{DE05FD11-A130-45EF-89A1-E4ED1057C8C7}" uniqueName="112" name="Lesson 3 (DOW)" queryTableFieldId="116" dataDxfId="672">
      <calculatedColumnFormula>WEEKDAY([8]!Sheet_1_Table_1_13[[#This Row],[Lesson 3
Date 
(DD-MMM-YYYY)]])</calculatedColumnFormula>
    </tableColumn>
    <tableColumn id="111" xr3:uid="{39E0E4B7-B146-440F-825C-7AF5BAE8F504}" uniqueName="111" name="Lesson 3_x000a_Start Time_x000a_(HH:MM)" queryTableFieldId="115" dataDxfId="671"/>
    <tableColumn id="62" xr3:uid="{2435C6E3-B8D6-4F49-916D-5ED44C119A0A}" uniqueName="62" name="Lesson 3_x000a_End Time_x000a_(HH:MM)" queryTableFieldId="165" dataDxfId="670"/>
    <tableColumn id="110" xr3:uid="{46D72D1D-BDC0-4DF0-9FB8-76DE96E09C7E}" uniqueName="110" name="Lesson 3_x000a_ Venue" queryTableFieldId="114" dataDxfId="669"/>
    <tableColumn id="109" xr3:uid="{AB76124B-A7D0-4A66-9CEB-1E6B0D0B5E53}" uniqueName="109" name="Lesson 4_x000a_Date _x000a_(DD-MMM-YYYY)" queryTableFieldId="113" dataDxfId="668"/>
    <tableColumn id="108" xr3:uid="{C629B68F-B4F1-497D-BF9D-7E31DD36E5AE}" uniqueName="108" name="Lesson 4 (DOW)" queryTableFieldId="112" dataDxfId="667">
      <calculatedColumnFormula>WEEKDAY([8]!Sheet_1_Table_1_13[[#This Row],[Lesson 4
Date 
(DD-MMM-YYYY)]])</calculatedColumnFormula>
    </tableColumn>
    <tableColumn id="117" xr3:uid="{6AD9D619-8C92-41CF-B91D-AA5BE03285EE}" uniqueName="117" name="Lesson 4_x000a_Start Time_x000a_(HH:MM)" queryTableFieldId="121" dataDxfId="666"/>
    <tableColumn id="64" xr3:uid="{D2641D8B-3CDA-4EF8-87F9-DA8F65265747}" uniqueName="64" name="Lesson 4_x000a_End Time_x000a_(HH:MM)" queryTableFieldId="166" dataDxfId="665"/>
    <tableColumn id="107" xr3:uid="{A0AC3B58-00DC-4FCB-9FA1-C65D295EFFA3}" uniqueName="107" name="Lesson 4_x000a_ Venue" queryTableFieldId="111" dataDxfId="664"/>
    <tableColumn id="122" xr3:uid="{0900E8C5-53A3-4BF9-87C9-A9D2AA821051}" uniqueName="122" name="Lesson 5_x000a_Date _x000a_(DD-MMM-YYYY)" queryTableFieldId="130" dataDxfId="663"/>
    <tableColumn id="123" xr3:uid="{DFC3A0A2-91C5-4300-AE52-DFD7AD7A8B85}" uniqueName="123" name="Lesson 5 (DOW)" queryTableFieldId="129" dataDxfId="662">
      <calculatedColumnFormula>WEEKDAY([8]!Sheet_1_Table_1_13[[#This Row],[Lesson 5
Date 
(DD-MMM-YYYY)]])</calculatedColumnFormula>
    </tableColumn>
    <tableColumn id="124" xr3:uid="{65F5AF6E-19D5-4DC5-AD9F-86D962561408}" uniqueName="124" name="Lesson 5_x000a_Start Time_x000a_(HH:MM)" queryTableFieldId="128" dataDxfId="661"/>
    <tableColumn id="65" xr3:uid="{CF9A3AC8-B263-48B6-9535-B13C252FE81F}" uniqueName="65" name="Lesson 5_x000a_End Time_x000a_(HH:MM)" queryTableFieldId="167" dataDxfId="660"/>
    <tableColumn id="125" xr3:uid="{3A467DD9-C6BE-4A59-81D1-8F5AC079289B}" uniqueName="125" name="Lesson 5_x000a_ Venue" queryTableFieldId="127" dataDxfId="659"/>
    <tableColumn id="118" xr3:uid="{1801120D-CED7-4E71-A547-E782D3E7F1C7}" uniqueName="118" name="Lesson 6_x000a_Date _x000a_(DD-MMM-YYYY)" queryTableFieldId="126" dataDxfId="658"/>
    <tableColumn id="119" xr3:uid="{A51A7B24-AF66-40EB-85FD-0A17AA665AFE}" uniqueName="119" name="Lesson 6 (DOW)" queryTableFieldId="125" dataDxfId="657">
      <calculatedColumnFormula>WEEKDAY([8]!Sheet_1_Table_1_13[[#This Row],[Lesson 6
Date 
(DD-MMM-YYYY)]])</calculatedColumnFormula>
    </tableColumn>
    <tableColumn id="120" xr3:uid="{D6A37EAD-A368-4A11-8BB9-D7EA094C4A7F}" uniqueName="120" name="Lesson 6_x000a_Start Time_x000a_(HH:MM)" queryTableFieldId="124" dataDxfId="656"/>
    <tableColumn id="43" xr3:uid="{4C5180CB-0B0F-49A0-8195-B0230000E5D9}" uniqueName="43" name="Lesson 6_x000a_End Time_x000a_(HH:MM)" queryTableFieldId="162" dataDxfId="655"/>
    <tableColumn id="121" xr3:uid="{D7EAA09D-2D4F-40CA-B22A-37AEE2A31766}" uniqueName="121" name="Lesson 6_x000a_ Venue" queryTableFieldId="123" dataDxfId="654"/>
    <tableColumn id="21" xr3:uid="{F78B37D5-37ED-4028-B38D-5AC6A78FBB7D}" uniqueName="21" name="Instructor / Speaker (1)_x000a_Title" queryTableFieldId="132" dataDxfId="653"/>
    <tableColumn id="34" xr3:uid="{356217A1-AA90-4B39-9CD8-447E669D8B93}" uniqueName="34" name="Instructor / Speaker (1)_x000a_First Name" queryTableFieldId="34" dataDxfId="652"/>
    <tableColumn id="30" xr3:uid="{43DCE7E7-28BC-4B30-B6B5-A0B79A4AC57E}" uniqueName="30" name="Instructor / Speaker (1)_x000a_Last Name _x000a_(in CAPITAL letter)" queryTableFieldId="133" dataDxfId="651"/>
    <tableColumn id="35" xr3:uid="{0741A0BD-3481-49A6-8326-B1FC0BED4E72}" uniqueName="35" name="Instructor / Speaker (1)_x000a_Job Title" queryTableFieldId="35" dataDxfId="650"/>
    <tableColumn id="37" xr3:uid="{89486FFD-D37D-4965-A2DE-E2C786B0DCEC}" uniqueName="37" name="Instructor / Speaker (2)_x000a_Title" queryTableFieldId="137" dataDxfId="649"/>
    <tableColumn id="36" xr3:uid="{4A0DCB0C-6DFF-432D-949D-A50458C8BC30}" uniqueName="36" name="Instructor / Speaker (2)_x000a_First Name" queryTableFieldId="136" dataDxfId="648"/>
    <tableColumn id="32" xr3:uid="{D8F49CBD-2CA3-47B7-8480-2C4B617AF061}" uniqueName="32" name="Instructor / Speaker (2)_x000a_Last Name _x000a_(in CAPITAL letter)" queryTableFieldId="135" dataDxfId="647"/>
    <tableColumn id="31" xr3:uid="{8EE71A8D-0964-4F29-B82D-49C1FD6A0C4E}" uniqueName="31" name="Instructor / Speaker (2)_x000a_Job Title" queryTableFieldId="134" dataDxfId="646"/>
    <tableColumn id="40" xr3:uid="{C9E8072D-8C28-4A5E-BD89-5BD65C65422D}" uniqueName="40" name="Fees" queryTableFieldId="179" dataDxfId="645"/>
    <tableColumn id="78" xr3:uid="{5D43FCB7-9578-4BA5-9AA6-AFC2191A0FD8}" uniqueName="78" name="Deposits" queryTableFieldId="79" dataDxfId="644"/>
    <tableColumn id="38" xr3:uid="{8AFCECCC-C03E-41DD-A121-B945B5EB3BAE}" uniqueName="38" name="Assembly Time _x000a_(for Off-campus Visit)" queryTableFieldId="38" dataDxfId="643"/>
    <tableColumn id="69" xr3:uid="{A0DC8BA0-836F-49E7-B278-904F3B4B1B47}" uniqueName="69" name="Assembly Location_x000a_(for Off-campus Visit)" queryTableFieldId="172" dataDxfId="642"/>
    <tableColumn id="39" xr3:uid="{80EFEAA8-228E-4CCC-9F95-94E59D32CF5C}" uniqueName="39" name="Remarks to Students (if applicable)" queryTableFieldId="39" dataDxfId="641"/>
    <tableColumn id="70" xr3:uid="{98AD68CB-CF8F-4934-8BDE-960ABDFA2136}" uniqueName="70" name="Zoom URL_x000a_(if any)" queryTableFieldId="183" dataDxfId="640"/>
    <tableColumn id="42" xr3:uid="{82CD7B03-A110-4178-BAF8-E860660C413E}" uniqueName="42" name="Meeting ID_x000a_(if any)" queryTableFieldId="181" dataDxfId="639"/>
    <tableColumn id="41" xr3:uid="{F765CC09-1EAC-4713-9BBA-C2D55B88B34B}" uniqueName="41" name="Meeting Passcode_x000a_(if any)" queryTableFieldId="180" dataDxfId="638"/>
    <tableColumn id="72" xr3:uid="{8BE07292-6C9F-4E0D-8DCF-0233021B6BF6}" uniqueName="72" name="Programme In-charge 1_x000a_Name" queryTableFieldId="184" dataDxfId="637"/>
    <tableColumn id="73" xr3:uid="{00A79BFA-E82D-4BFF-B308-99AC6C1CEFC0}" uniqueName="73" name="Programme In-charge 1_x000a_Email" queryTableFieldId="185" dataDxfId="636"/>
    <tableColumn id="45" xr3:uid="{E12816DD-F42D-46EE-87A7-077910C76EAD}" uniqueName="45" name="Programme In-charge 2_x000a_Name" queryTableFieldId="45" dataDxfId="635"/>
    <tableColumn id="46" xr3:uid="{E4DFDF1B-EEB5-401D-AE96-66AC12E87445}" uniqueName="46" name="Programme In-charge 2_x000a_Email" queryTableFieldId="46" dataDxfId="634"/>
    <tableColumn id="49" xr3:uid="{8A1BA69C-76D2-4131-9758-F7BFDDCF1750}" uniqueName="49" name="Sustainable Development Goals (Y/N)" queryTableFieldId="49" dataDxfId="633"/>
    <tableColumn id="50" xr3:uid="{5FFC2E32-5CA2-40E3-AB0F-B0A409E64E4E}" uniqueName="50" name="SDG1 _x000a_No Poverty" queryTableFieldId="50" dataDxfId="632"/>
    <tableColumn id="51" xr3:uid="{DBAE042D-3250-4ACE-8FB4-B41C35C1467E}" uniqueName="51" name="SDG2_x000a_Zero Hunger" queryTableFieldId="51" dataDxfId="631"/>
    <tableColumn id="52" xr3:uid="{3E8FD7CA-C338-4CA2-B3EC-84E92D66CF3E}" uniqueName="52" name="SDG3_x000a_Good Health and well-being" queryTableFieldId="52" dataDxfId="630"/>
    <tableColumn id="53" xr3:uid="{7FB441CC-7ECB-4A31-A30B-B5A2071ACC99}" uniqueName="53" name="SDG4_x000a_Quality Education" queryTableFieldId="53" dataDxfId="629"/>
    <tableColumn id="54" xr3:uid="{2F4AEF97-B18D-4CAE-ACFB-BB8A5B840A03}" uniqueName="54" name="SDG5_x000a_ Gender Equality" queryTableFieldId="54" dataDxfId="628"/>
    <tableColumn id="101" xr3:uid="{F9B987B8-DFCD-4F17-AD6F-41D153E48D8B}" uniqueName="101" name="SDG6_x000a_ Clean Water &amp; Sanitation" queryTableFieldId="102" dataDxfId="627"/>
    <tableColumn id="100" xr3:uid="{CFC71505-FD90-4B83-9673-29A0BE2AB232}" uniqueName="100" name="SDG7 Affordable &amp; Clean Energy" queryTableFieldId="101" dataDxfId="626"/>
    <tableColumn id="99" xr3:uid="{0B7BC176-D754-44F8-8D59-1E1AFB83C0AE}" uniqueName="99" name="SDG8 _x000a_Decent Work &amp; Economic Growth" queryTableFieldId="100" dataDxfId="625"/>
    <tableColumn id="98" xr3:uid="{8871732D-FA4F-4214-BCFC-908299A3DE32}" uniqueName="98" name="SDG9_x000a_Industry, Innovation &amp; Infrastructure" queryTableFieldId="99" dataDxfId="624"/>
    <tableColumn id="97" xr3:uid="{4228A4FF-CC11-4EE8-8F6F-18AE15210DC2}" uniqueName="97" name="SDG10_x000a_ Reduced inequalities" queryTableFieldId="98" dataDxfId="623"/>
    <tableColumn id="96" xr3:uid="{85181828-A336-4CC4-8762-0C44A3C79AD7}" uniqueName="96" name="SDG11 Sustainable Cities &amp; Communities" queryTableFieldId="97" dataDxfId="622"/>
    <tableColumn id="95" xr3:uid="{162CD17F-2317-4970-82E9-69607BEEADD3}" uniqueName="95" name="SDG12 Responsible Consumption &amp; Production" queryTableFieldId="96" dataDxfId="621"/>
    <tableColumn id="94" xr3:uid="{2A601848-1C12-4E32-A815-FF48D830EB28}" uniqueName="94" name="SDG13_x000a_ Climate Action" queryTableFieldId="95" dataDxfId="620"/>
    <tableColumn id="93" xr3:uid="{2FA09567-16AB-4B0B-8359-A8B8AC5C39ED}" uniqueName="93" name="SDG14_x000a_Life Below Water" queryTableFieldId="94" dataDxfId="619"/>
    <tableColumn id="92" xr3:uid="{AF8F77B5-C225-4479-B7B5-98F7DA29E512}" uniqueName="92" name="SDG15 _x000a_Life on Land" queryTableFieldId="93" dataDxfId="618"/>
    <tableColumn id="91" xr3:uid="{431E7037-89C6-495C-937F-CF903BC4E0EB}" uniqueName="91" name="SDG16 Peace, Justice &amp; Strong Institutions" queryTableFieldId="92" dataDxfId="617"/>
    <tableColumn id="90" xr3:uid="{6C771BA0-E313-4216-9014-E65551D541D8}" uniqueName="90" name="SDG17 Partnerships for the Goals" queryTableFieldId="91" dataDxfId="616"/>
    <tableColumn id="63" xr3:uid="{F1A01C60-F697-4733-A5F9-E839B275D89E}" uniqueName="63" name="Country/Place" queryTableFieldId="64" dataDxfId="615"/>
    <tableColumn id="83" xr3:uid="{06A2386C-4F2C-42A1-8FF4-C68D22926E74}" uniqueName="83" name="Credit Type" queryTableFieldId="84" dataDxfId="614"/>
    <tableColumn id="84" xr3:uid="{6A74AE83-ECCB-458D-87BD-49ADE38226FD}" uniqueName="84" name="Data Type" queryTableFieldId="85" dataDxfId="613"/>
    <tableColumn id="61" xr3:uid="{37AE1747-9D55-4610-B3BB-FC6F00C83AA6}" uniqueName="61" name="UAA" queryTableFieldId="62" dataDxfId="612"/>
    <tableColumn id="86" xr3:uid="{9A2CA65F-F238-45B6-BBA9-B80148B1205B}" uniqueName="86" name="Programme Category" queryTableFieldId="87" dataDxfId="611"/>
    <tableColumn id="87" xr3:uid="{2FE55644-B8B3-4A85-9879-DB598AF4A5B1}" uniqueName="87" name="Whole Person Development Cocurriculum" queryTableFieldId="88" dataDxfId="610"/>
    <tableColumn id="88" xr3:uid="{69CB62C6-AC22-44D0-AA87-4B825EC59374}" uniqueName="88" name="Moral Education" queryTableFieldId="89" dataDxfId="609"/>
    <tableColumn id="89" xr3:uid="{FB1025A7-D4BB-45D7-B6A6-FD3E8C1D85EA}" uniqueName="89" name="Social Responsible Citizenship" queryTableFieldId="90" dataDxfId="608"/>
    <tableColumn id="47" xr3:uid="{0C051E3B-AAEC-4021-8571-4CF05AE95700}" uniqueName="47" name="Lingnan Language Enhancement Initiative (L2EI)_x000a_(Y/N)" queryTableFieldId="186" dataDxfId="607"/>
    <tableColumn id="25" xr3:uid="{CF0A9AAF-696A-439D-B660-2E17973E2AE7}" uniqueName="25" name="Leadership Enhancement Programme (LEP)_x000a_(Y/N)" queryTableFieldId="25" dataDxfId="606"/>
    <tableColumn id="66" xr3:uid="{869262EB-1F18-4657-948C-98B631B1E9AA}" uniqueName="66" name="TALENT - The Lingnan iPortfolio" queryTableFieldId="169" dataDxfId="605"/>
    <tableColumn id="67" xr3:uid="{9B5221BA-E1F8-4B98-8E59-FAF607557E73}" uniqueName="67" name="Has Registration" queryTableFieldId="170" dataDxfId="604"/>
    <tableColumn id="68" xr3:uid="{00BB99DF-7353-4C4D-BB11-59AF694A99CF}" uniqueName="68" name="OSA Portal Registration" queryTableFieldId="171" dataDxfId="603"/>
    <tableColumn id="48" xr3:uid="{B7F3D5DB-282D-4329-A8A6-49626CDF5F61}" uniqueName="48" name="Status" queryTableFieldId="187" dataDxfId="60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395CDC1-CB8E-47E3-BC71-EAE81FAB7B03}" name="Sheet_1_Table_1_134" displayName="Sheet_1_Table_1_134" ref="B2:DN74" tableType="queryTable" totalsRowShown="0" headerRowDxfId="845" dataDxfId="843" headerRowBorderDxfId="844" tableBorderDxfId="842" totalsRowBorderDxfId="841">
  <autoFilter ref="B2:DN74" xr:uid="{A40E3A6D-1066-4C6D-8DC4-5DAEE3358E36}"/>
  <sortState xmlns:xlrd2="http://schemas.microsoft.com/office/spreadsheetml/2017/richdata2" ref="B3:DM51">
    <sortCondition ref="AK2:AK51"/>
  </sortState>
  <tableColumns count="117">
    <tableColumn id="1" xr3:uid="{345C6DDB-9671-476F-B132-90853C8C1D91}" uniqueName="1" name="Term" queryTableFieldId="1" dataDxfId="840"/>
    <tableColumn id="2" xr3:uid="{6D4C7AC7-B5B9-4F19-BD1A-0E14DDF13E31}" uniqueName="2" name="Course Code" queryTableFieldId="2" dataDxfId="839"/>
    <tableColumn id="3" xr3:uid="{192AC056-1847-40F8-8F82-72A8051AC876}" uniqueName="3" name="Part of Terms" queryTableFieldId="3" dataDxfId="838"/>
    <tableColumn id="4" xr3:uid="{4E86B21C-621F-4F75-AC71-7F5FBA8D9431}" uniqueName="4" name="CRN" queryTableFieldId="4" dataDxfId="837"/>
    <tableColumn id="59" xr3:uid="{859EC33A-F60A-4770-96AE-FC4B88DA9B2B}" uniqueName="59" name="Department / Unit" queryTableFieldId="59" dataDxfId="836"/>
    <tableColumn id="33" xr3:uid="{D78F8969-587E-45D9-B0D2-8886CD1CDB3C}" uniqueName="33" name="Team" queryTableFieldId="176" dataDxfId="835"/>
    <tableColumn id="5" xr3:uid="{3091CDF5-6012-4964-9133-F4717F706094}" uniqueName="5" name="Series Name (Chi)" queryTableFieldId="5" dataDxfId="834"/>
    <tableColumn id="6" xr3:uid="{6235A10E-1A74-408E-97F6-F19A95C8E022}" uniqueName="6" name="Series Name (Eng)" queryTableFieldId="6" dataDxfId="833"/>
    <tableColumn id="7" xr3:uid="{7DDA894D-ECC7-4EDF-8AC8-EF30AC14EA39}" uniqueName="7" name="Activity Title (Chi)" queryTableFieldId="7" dataDxfId="832"/>
    <tableColumn id="8" xr3:uid="{8D6FDFBB-4A7C-4F40-941E-7AC46955A39C}" uniqueName="8" name="Activity Title (Eng)" queryTableFieldId="8" dataDxfId="831"/>
    <tableColumn id="57" xr3:uid="{9A69982E-D8AE-417A-9CB1-E4087BC3F1B3}" uniqueName="57" name="Session Title" queryTableFieldId="57" dataDxfId="830"/>
    <tableColumn id="9" xr3:uid="{438844F7-10E9-4996-BFB3-AD8D4E624201}" uniqueName="9" name="Objectives / Expected Learning Outcomes (Eng)" queryTableFieldId="9" dataDxfId="829"/>
    <tableColumn id="10" xr3:uid="{36B02FFC-4E2E-4F57-9B09-61AA1E65D3D8}" uniqueName="10" name="Description (Eng)" queryTableFieldId="10" dataDxfId="828"/>
    <tableColumn id="55" xr3:uid="{2935BF27-E3C1-4A81-AEC4-C6D246AD5045}" uniqueName="55" name="Include in Online Registration? _x000a_(Y/N)" queryTableFieldId="55" dataDxfId="827"/>
    <tableColumn id="44" xr3:uid="{1C780AA2-B80A-4263-B285-96DF37EDDDB7}" uniqueName="44" name="Send Auto-reminder? _x000a_(Y/N)" queryTableFieldId="178" dataDxfId="826"/>
    <tableColumn id="75" xr3:uid="{5284AB7B-E6EB-441C-B5EF-DB1DF7E75076}" uniqueName="75" name="Learning Domain" queryTableFieldId="76" dataDxfId="825"/>
    <tableColumn id="11" xr3:uid="{683D7AC2-9C55-4506-95FD-2431484CF333}" uniqueName="11" name="Learning Domain (Short)" queryTableFieldId="11" dataDxfId="824"/>
    <tableColumn id="12" xr3:uid="{887AA638-1DA6-4850-8C31-BC67F4263E38}" uniqueName="12" name="Leadership LS" queryTableFieldId="12" dataDxfId="823"/>
    <tableColumn id="13" xr3:uid="{A5480438-52AB-40B6-A4AE-AB4ACFD85EB5}" uniqueName="13" name="Entrepreneurship ENT" queryTableFieldId="13" dataDxfId="822"/>
    <tableColumn id="14" xr3:uid="{C05D8155-D25A-4B0C-9F16-22922F2AC532}" uniqueName="14" name="Well-being (Physical) WBP" queryTableFieldId="14" dataDxfId="821"/>
    <tableColumn id="15" xr3:uid="{22C604ED-4C37-4EA5-A62D-E3EB28792BCB}" uniqueName="15" name="Well-being (Mental) WBM" queryTableFieldId="15" dataDxfId="820"/>
    <tableColumn id="16" xr3:uid="{86AF3943-2F6D-4D20-B542-5F3AB13B3A8A}" uniqueName="16" name="Language Enhancement LE" queryTableFieldId="16" dataDxfId="819"/>
    <tableColumn id="17" xr3:uid="{E4E6A344-2854-4CAF-8CA7-6FA62B5A0E47}" uniqueName="17" name="Cross-Cultural Appreciation_x000a_&amp; Integration CCAI" queryTableFieldId="17" dataDxfId="818"/>
    <tableColumn id="18" xr3:uid="{E604612C-428D-4C79-A8BD-AF6DDF3E9FEB}" uniqueName="18" name="Sustainability SUS" queryTableFieldId="18" dataDxfId="817"/>
    <tableColumn id="19" xr3:uid="{22B288B1-C6D8-47F7-BADA-7D212FC85D08}" uniqueName="19" name="Digital Literacy DL" queryTableFieldId="19" dataDxfId="816"/>
    <tableColumn id="20" xr3:uid="{5224CF36-41DC-41E8-BB7F-49F5EE5EE980}" uniqueName="20" name="Career Development  CR" queryTableFieldId="20" dataDxfId="815"/>
    <tableColumn id="22" xr3:uid="{C7DFD695-5770-41D4-8986-54942418E933}" uniqueName="22" name="Total" queryTableFieldId="22" dataDxfId="814"/>
    <tableColumn id="106" xr3:uid="{A044A788-1A95-4022-818A-7E5D8CFC7569}" uniqueName="106" name="Programme Type" queryTableFieldId="110" dataDxfId="813"/>
    <tableColumn id="23" xr3:uid="{7AA14734-E685-42A8-8D40-579C76E30899}" uniqueName="23" name="Delivery Mode" queryTableFieldId="23" dataDxfId="812"/>
    <tableColumn id="24" xr3:uid="{AA7ADF04-6364-40D4-8640-9D5AF8A75C11}" uniqueName="24" name="Medium_x000a_of Instruction_x000a_(ENG)" queryTableFieldId="24" dataDxfId="811"/>
    <tableColumn id="77" xr3:uid="{A70927C6-AEE2-4571-B033-5D32B78DE73A}" uniqueName="77" name="Medium_x000a_of Instruction_x000a_(Cantonese)" queryTableFieldId="78" dataDxfId="810"/>
    <tableColumn id="76" xr3:uid="{59925954-336D-4B0D-B0D5-FBC8E53BF79D}" uniqueName="76" name="Medium_x000a_of Instruction_x000a_(PTH)" queryTableFieldId="77" dataDxfId="809"/>
    <tableColumn id="26" xr3:uid="{41A7B763-8E6E-49AB-B639-CBD011C233FC}" uniqueName="26" name="ILP Units Per Session" queryTableFieldId="26" dataDxfId="808"/>
    <tableColumn id="27" xr3:uid="{AEE45615-B943-4EF9-901A-375522132758}" uniqueName="27" name="Quota" queryTableFieldId="27" dataDxfId="807"/>
    <tableColumn id="28" xr3:uid="{72EE6D6D-C0FB-4EFA-A62C-37307DB76F9D}" uniqueName="28" name="Total Units to be Offered" queryTableFieldId="28" dataDxfId="806"/>
    <tableColumn id="29" xr3:uid="{1C849655-B209-45C5-8CBF-388F0E8DBF0A}" uniqueName="29" name="Lesson 1 _x000a_Date _x000a_(DD-MMM-YYYY)" queryTableFieldId="29" dataDxfId="805"/>
    <tableColumn id="105" xr3:uid="{461B46C3-25F7-4891-BADB-D0F87B8AAE64}" uniqueName="105" name="Lesson 1 (DOW)" queryTableFieldId="109" dataDxfId="804">
      <calculatedColumnFormula>WEEKDAY(Sheet_1_Table_1_134[[#This Row],[Lesson 1 
Date 
(DD-MMM-YYYY)]])</calculatedColumnFormula>
    </tableColumn>
    <tableColumn id="103" xr3:uid="{867D0775-F943-48A8-BD67-35B320872AD9}" uniqueName="103" name="Lesson 1 _x000a_Start Time_x000a_(HH:MM)" queryTableFieldId="107" dataDxfId="803"/>
    <tableColumn id="56" xr3:uid="{21C792CC-415D-4371-80A6-3E7B253D7479}" uniqueName="56" name="Lesson 1_x000a_End Time_x000a_(HH:MM)" queryTableFieldId="163" dataDxfId="802"/>
    <tableColumn id="58" xr3:uid="{85F4D049-859B-41B7-AAF4-A14F4B8E7FE4}" uniqueName="58" name="Lesson 1 _x000a_Venue" queryTableFieldId="58" dataDxfId="801"/>
    <tableColumn id="113" xr3:uid="{A3791DAC-B2D1-43C5-AFA7-83C3B1283B7F}" uniqueName="113" name="Lesson 2_x000a_Date _x000a_(DD-MMM-YYYY)" queryTableFieldId="120" dataDxfId="800"/>
    <tableColumn id="114" xr3:uid="{FE2BEE25-1D42-4A30-9BA0-3B9A759EC189}" uniqueName="114" name="Lesson 2 (DOW)" queryTableFieldId="119" dataDxfId="799">
      <calculatedColumnFormula>WEEKDAY(Sheet_1_Table_1_134[[#This Row],[Lesson 2
Date 
(DD-MMM-YYYY)]])</calculatedColumnFormula>
    </tableColumn>
    <tableColumn id="115" xr3:uid="{3425014C-4675-429B-988E-F1625AE8625E}" uniqueName="115" name="Lesson 2_x000a_Start Time_x000a_(HH:MM)" queryTableFieldId="118" dataDxfId="798"/>
    <tableColumn id="60" xr3:uid="{EC914E46-AF95-4470-9537-B4D5F76E8105}" uniqueName="60" name="Lesson 2_x000a_End Time_x000a_(HH:MM)" queryTableFieldId="164" dataDxfId="797"/>
    <tableColumn id="116" xr3:uid="{0C393DF9-C45B-4675-A855-0C06054D6AEF}" uniqueName="116" name="Lesson 2_x000a_ Venue" queryTableFieldId="117" dataDxfId="796"/>
    <tableColumn id="104" xr3:uid="{A6AC1AF4-84B2-4FD2-BBA1-D81F23333D40}" uniqueName="104" name="Lesson 3_x000a_Date _x000a_(DD-MMM-YYYY)" queryTableFieldId="108" dataDxfId="795"/>
    <tableColumn id="112" xr3:uid="{C8A27A1E-5CB7-4C63-A69F-6531611EF606}" uniqueName="112" name="Lesson 3 (DOW)" queryTableFieldId="116" dataDxfId="794">
      <calculatedColumnFormula>WEEKDAY(Sheet_1_Table_1_134[[#This Row],[Lesson 3
Date 
(DD-MMM-YYYY)]])</calculatedColumnFormula>
    </tableColumn>
    <tableColumn id="111" xr3:uid="{F0C74ADB-0DA0-4A54-A289-F212088F8373}" uniqueName="111" name="Lesson 3_x000a_Start Time_x000a_(HH:MM)" queryTableFieldId="115" dataDxfId="793"/>
    <tableColumn id="62" xr3:uid="{6666641C-1169-40EF-8FE7-58A307696F36}" uniqueName="62" name="Lesson 3_x000a_End Time_x000a_(HH:MM)" queryTableFieldId="165" dataDxfId="792"/>
    <tableColumn id="110" xr3:uid="{AF3041DA-4272-4C35-B4E2-2C3EDC74D0FA}" uniqueName="110" name="Lesson 3_x000a_ Venue" queryTableFieldId="114" dataDxfId="791"/>
    <tableColumn id="109" xr3:uid="{F7A20110-050A-4634-BE2D-357E58737B3F}" uniqueName="109" name="Lesson 4_x000a_Date _x000a_(DD-MMM-YYYY)" queryTableFieldId="113" dataDxfId="790"/>
    <tableColumn id="108" xr3:uid="{73E2BBC0-559A-4B69-878C-E29A27097561}" uniqueName="108" name="Lesson 4 (DOW)" queryTableFieldId="112" dataDxfId="789">
      <calculatedColumnFormula>WEEKDAY(Sheet_1_Table_1_134[[#This Row],[Lesson 4
Date 
(DD-MMM-YYYY)]])</calculatedColumnFormula>
    </tableColumn>
    <tableColumn id="117" xr3:uid="{390F336B-BFAA-4C24-B0D3-8C7A82AE7CC1}" uniqueName="117" name="Lesson 4_x000a_Start Time_x000a_(HH:MM)" queryTableFieldId="121" dataDxfId="788"/>
    <tableColumn id="64" xr3:uid="{3245D2CA-54C6-4375-9E3A-14C87D3A79AB}" uniqueName="64" name="Lesson 4_x000a_End Time_x000a_(HH:MM)" queryTableFieldId="166" dataDxfId="787"/>
    <tableColumn id="107" xr3:uid="{FADE2270-59ED-4EBF-AA0D-0626727C4BAF}" uniqueName="107" name="Lesson 4_x000a_ Venue" queryTableFieldId="111" dataDxfId="786"/>
    <tableColumn id="122" xr3:uid="{144C7B43-8EC3-4BD0-81F5-B789A827F764}" uniqueName="122" name="Lesson 5_x000a_Date _x000a_(DD-MMM-YYYY)" queryTableFieldId="130" dataDxfId="785"/>
    <tableColumn id="123" xr3:uid="{986559F6-2746-4528-B514-B1E9BE8037CA}" uniqueName="123" name="Lesson 5 (DOW)" queryTableFieldId="129" dataDxfId="784">
      <calculatedColumnFormula>WEEKDAY(Sheet_1_Table_1_134[[#This Row],[Lesson 5
Date 
(DD-MMM-YYYY)]])</calculatedColumnFormula>
    </tableColumn>
    <tableColumn id="124" xr3:uid="{75E3B596-D104-4686-896B-380EC849DD8E}" uniqueName="124" name="Lesson 5_x000a_Start Time_x000a_(HH:MM)" queryTableFieldId="128" dataDxfId="783"/>
    <tableColumn id="65" xr3:uid="{4135AB9F-C055-4D19-9C88-E69A58AFBF51}" uniqueName="65" name="Lesson 5_x000a_End Time_x000a_(HH:MM)" queryTableFieldId="167" dataDxfId="782"/>
    <tableColumn id="125" xr3:uid="{9FA48A8C-4078-4D86-8822-0E4003F679F6}" uniqueName="125" name="Lesson 5_x000a_ Venue" queryTableFieldId="127" dataDxfId="781"/>
    <tableColumn id="118" xr3:uid="{1086449E-87EE-4F3F-A2D4-7B1555C84D7B}" uniqueName="118" name="Lesson 6_x000a_Date _x000a_(DD-MMM-YYYY)" queryTableFieldId="126" dataDxfId="780"/>
    <tableColumn id="119" xr3:uid="{97D3DF6B-9957-47B1-8D62-E1A3D3D1C56E}" uniqueName="119" name="Lesson 6 (DOW)" queryTableFieldId="125" dataDxfId="779">
      <calculatedColumnFormula>WEEKDAY(Sheet_1_Table_1_134[[#This Row],[Lesson 6
Date 
(DD-MMM-YYYY)]])</calculatedColumnFormula>
    </tableColumn>
    <tableColumn id="120" xr3:uid="{DF65F627-DEE6-4CA0-AC82-4F2921A6E376}" uniqueName="120" name="Lesson 6_x000a_Start Time_x000a_(HH:MM)" queryTableFieldId="124" dataDxfId="778"/>
    <tableColumn id="43" xr3:uid="{1D5687BB-E482-4642-8F28-35328B29D284}" uniqueName="43" name="Lesson 6_x000a_End Time_x000a_(HH:MM)" queryTableFieldId="162" dataDxfId="777"/>
    <tableColumn id="121" xr3:uid="{BED5C65F-4DE1-4BA5-BA39-7011BD21BF09}" uniqueName="121" name="Lesson 6_x000a_ Venue" queryTableFieldId="123" dataDxfId="776"/>
    <tableColumn id="21" xr3:uid="{0C1D5AFF-6A1D-4027-8DB5-D7D68E996DA8}" uniqueName="21" name="Instructor / Speaker (1)_x000a_Title" queryTableFieldId="132" dataDxfId="775"/>
    <tableColumn id="34" xr3:uid="{740C3496-325B-43B8-A616-BF415D107D48}" uniqueName="34" name="Instructor / Speaker (1)_x000a_First Name" queryTableFieldId="34" dataDxfId="774"/>
    <tableColumn id="30" xr3:uid="{DC8061E4-8F39-4F20-AC1A-8CB33DB6F715}" uniqueName="30" name="Instructor / Speaker (1)_x000a_Last Name _x000a_(in CAPITAL letter)" queryTableFieldId="133" dataDxfId="773"/>
    <tableColumn id="35" xr3:uid="{E485C282-9F3C-4ED3-BCE0-E90D5E04CF2D}" uniqueName="35" name="Instructor / Speaker (1)_x000a_Job Title" queryTableFieldId="35" dataDxfId="772"/>
    <tableColumn id="37" xr3:uid="{CC7863B6-6CE9-49EE-9822-5345541AF0A4}" uniqueName="37" name="Instructor / Speaker (2)_x000a_Title" queryTableFieldId="137" dataDxfId="771"/>
    <tableColumn id="36" xr3:uid="{8A8F085F-9ED2-4860-B2AF-83A49157FBC4}" uniqueName="36" name="Instructor / Speaker (2)_x000a_First Name" queryTableFieldId="136" dataDxfId="770"/>
    <tableColumn id="32" xr3:uid="{2F36FD22-4F0D-4FC7-9821-4194B3FFD08E}" uniqueName="32" name="Instructor / Speaker (2)_x000a_Last Name _x000a_(in CAPITAL letter)" queryTableFieldId="135" dataDxfId="769"/>
    <tableColumn id="31" xr3:uid="{E2A0B313-FC0E-466F-A41B-6D43E6D6DEA9}" uniqueName="31" name="Instructor / Speaker (2)_x000a_Job Title" queryTableFieldId="134" dataDxfId="768"/>
    <tableColumn id="40" xr3:uid="{61E3371A-CB36-45E3-8C27-5B928526A822}" uniqueName="40" name="Fees" queryTableFieldId="179" dataDxfId="767"/>
    <tableColumn id="78" xr3:uid="{CB4FA334-7258-4E71-8055-60166F1EDE07}" uniqueName="78" name="Deposits" queryTableFieldId="79" dataDxfId="766"/>
    <tableColumn id="38" xr3:uid="{0EA73AF9-361F-4379-B0BB-42421D03FE17}" uniqueName="38" name="Assembly Time _x000a_(for Off-campus Visit)" queryTableFieldId="38" dataDxfId="765"/>
    <tableColumn id="69" xr3:uid="{1DB41F94-531A-4F0E-82F5-4DD778C39ED2}" uniqueName="69" name="Assembly Location_x000a_(for Off-campus Visit)" queryTableFieldId="172" dataDxfId="764"/>
    <tableColumn id="39" xr3:uid="{806A2C80-FCDE-4055-8910-1137E097863E}" uniqueName="39" name="Remarks to Students (if applicable)" queryTableFieldId="39" dataDxfId="763"/>
    <tableColumn id="70" xr3:uid="{243BE583-1B6B-4054-9E32-46582EF9DF13}" uniqueName="70" name="Zoom URL_x000a_(if any)" queryTableFieldId="183" dataDxfId="762"/>
    <tableColumn id="42" xr3:uid="{71BDDF02-B7F6-4B66-B735-C61B2512309E}" uniqueName="42" name="Meeting ID_x000a_(if any)" queryTableFieldId="181" dataDxfId="761"/>
    <tableColumn id="41" xr3:uid="{FA422B48-EB4C-44A7-92B5-A27AB2455502}" uniqueName="41" name="Meeting Passcode_x000a_(if any)" queryTableFieldId="180" dataDxfId="760"/>
    <tableColumn id="72" xr3:uid="{073837C3-E6E4-4C07-8361-12F8B8630682}" uniqueName="72" name="Programme In-charge 1_x000a_Name" queryTableFieldId="184" dataDxfId="759"/>
    <tableColumn id="73" xr3:uid="{F750A850-C750-4165-B0CC-8544E7B884DE}" uniqueName="73" name="Programme In-charge 1_x000a_Email" queryTableFieldId="185" dataDxfId="758"/>
    <tableColumn id="45" xr3:uid="{A3501317-A426-4E7F-9690-2917255529BA}" uniqueName="45" name="Programme In-charge 2_x000a_Name" queryTableFieldId="45" dataDxfId="757"/>
    <tableColumn id="46" xr3:uid="{8D025312-054F-48A0-AEA7-5623CA70939D}" uniqueName="46" name="Programme In-charge 2_x000a_Email" queryTableFieldId="46" dataDxfId="756"/>
    <tableColumn id="49" xr3:uid="{6308BB72-E36D-4CB1-B92D-9B17CBFA4CAD}" uniqueName="49" name="Sustainable Development Goals (Y/N)" queryTableFieldId="49" dataDxfId="755"/>
    <tableColumn id="50" xr3:uid="{120A268B-106C-4991-A9E6-D662859E3107}" uniqueName="50" name="SDG1 _x000a_No Poverty" queryTableFieldId="50" dataDxfId="754"/>
    <tableColumn id="51" xr3:uid="{B29B75E1-2FC7-49F8-B592-130ADF59030D}" uniqueName="51" name="SDG2_x000a_Zero Hunger" queryTableFieldId="51" dataDxfId="753"/>
    <tableColumn id="52" xr3:uid="{85AA11FB-9DA4-48A6-9E8F-32E20DB09AD9}" uniqueName="52" name="SDG3_x000a_Good Health and well-being" queryTableFieldId="52" dataDxfId="752"/>
    <tableColumn id="53" xr3:uid="{4FC06E35-739F-48F4-B4B1-2DBCBDAE11EB}" uniqueName="53" name="SDG4_x000a_Quality Education" queryTableFieldId="53" dataDxfId="751"/>
    <tableColumn id="54" xr3:uid="{94910628-E31D-4D15-9592-1C673FCE2CEB}" uniqueName="54" name="SDG5_x000a_ Gender Equality" queryTableFieldId="54" dataDxfId="750"/>
    <tableColumn id="101" xr3:uid="{17B9C5ED-86E5-4897-8942-F7020806772F}" uniqueName="101" name="SDG6_x000a_ Clean Water &amp; Sanitation" queryTableFieldId="102" dataDxfId="749"/>
    <tableColumn id="100" xr3:uid="{E726A44D-BDDA-43A4-8987-5413D83D320D}" uniqueName="100" name="SDG7 Affordable &amp; Clean Energy" queryTableFieldId="101" dataDxfId="748"/>
    <tableColumn id="99" xr3:uid="{0E299D26-7599-4E1B-BBF9-47ADCA78A2DC}" uniqueName="99" name="SDG8 _x000a_Decent Work &amp; Economic Growth" queryTableFieldId="100" dataDxfId="747"/>
    <tableColumn id="98" xr3:uid="{892FCE9F-B8BA-430D-9F92-D326055C8724}" uniqueName="98" name="SDG9_x000a_Industry, Innovation &amp; Infrastructure" queryTableFieldId="99" dataDxfId="746"/>
    <tableColumn id="97" xr3:uid="{3A0067A6-4F1B-4F02-8191-CF713B49227B}" uniqueName="97" name="SDG10_x000a_ Reduced inequalities" queryTableFieldId="98" dataDxfId="745"/>
    <tableColumn id="96" xr3:uid="{0126ED06-816A-4E20-84E8-A6C651B7F857}" uniqueName="96" name="SDG11 Sustainable Cities &amp; Communities" queryTableFieldId="97" dataDxfId="744"/>
    <tableColumn id="95" xr3:uid="{1111A74F-F4B3-4227-9531-0CFFEFAF94DA}" uniqueName="95" name="SDG12 Responsible Consumption &amp; Production" queryTableFieldId="96" dataDxfId="743"/>
    <tableColumn id="94" xr3:uid="{45C66274-9410-4FC9-9554-5CB1B0F13FAD}" uniqueName="94" name="SDG13_x000a_ Climate Action" queryTableFieldId="95" dataDxfId="742"/>
    <tableColumn id="93" xr3:uid="{B7F6D6D5-F9AF-4CA8-8B51-1CD75A6CBADB}" uniqueName="93" name="SDG14_x000a_Life Below Water" queryTableFieldId="94" dataDxfId="741"/>
    <tableColumn id="92" xr3:uid="{A9EA6BF7-4BBF-4D3E-80E3-606A35DAB5F6}" uniqueName="92" name="SDG15 _x000a_Life on Land" queryTableFieldId="93" dataDxfId="740"/>
    <tableColumn id="91" xr3:uid="{C1CFD9CF-91E3-48CD-9593-F54CFC1E9EDD}" uniqueName="91" name="SDG16 Peace, Justice &amp; Strong Institutions" queryTableFieldId="92" dataDxfId="739"/>
    <tableColumn id="90" xr3:uid="{989DE7FD-CC26-4B43-9005-C94F9C8C35BB}" uniqueName="90" name="SDG17 Partnerships for the Goals" queryTableFieldId="91" dataDxfId="738"/>
    <tableColumn id="63" xr3:uid="{A6658EA3-DA78-450B-B37B-BE4D5BAA0DB0}" uniqueName="63" name="Country/Place" queryTableFieldId="64" dataDxfId="737"/>
    <tableColumn id="83" xr3:uid="{EEA331C8-73CD-48D4-AA22-78D0E58C4190}" uniqueName="83" name="Credit Type" queryTableFieldId="84" dataDxfId="736"/>
    <tableColumn id="84" xr3:uid="{701335F3-9F37-4D3C-9482-833193BD5368}" uniqueName="84" name="Data Type" queryTableFieldId="85" dataDxfId="735"/>
    <tableColumn id="61" xr3:uid="{F672FD05-826A-4568-95E7-461A02CCE361}" uniqueName="61" name="UAA" queryTableFieldId="62" dataDxfId="734"/>
    <tableColumn id="86" xr3:uid="{F0834BCD-A9D8-4A93-9BA3-579A4DBC88E6}" uniqueName="86" name="Programme Category" queryTableFieldId="87" dataDxfId="733"/>
    <tableColumn id="87" xr3:uid="{1D0BABDA-1370-4F95-B9A4-A0083E1F3485}" uniqueName="87" name="Whole Person Development Cocurriculum" queryTableFieldId="88" dataDxfId="732"/>
    <tableColumn id="88" xr3:uid="{060A36AD-26F2-4BD5-8C0D-A44B77785DEF}" uniqueName="88" name="Moral Education" queryTableFieldId="89" dataDxfId="731"/>
    <tableColumn id="89" xr3:uid="{A7E3397E-1427-436C-9C30-05CC577169EE}" uniqueName="89" name="Social Responsible Citizenship" queryTableFieldId="90" dataDxfId="730"/>
    <tableColumn id="47" xr3:uid="{FF253809-BD67-449F-B04F-2A8E29D87C43}" uniqueName="47" name="Lingnan Language Enhancement Initiative (L2EI)_x000a_(Y/N)" queryTableFieldId="186" dataDxfId="729"/>
    <tableColumn id="25" xr3:uid="{A8D258F8-6160-4B51-BD3E-0BD660B4AE66}" uniqueName="25" name="Leadership Enhancement Programme (LEP)_x000a_(Y/N)" queryTableFieldId="25" dataDxfId="728"/>
    <tableColumn id="66" xr3:uid="{0DC4F36E-4A03-45B5-ACF6-CE6492283D72}" uniqueName="66" name="TALENT - The Lingnan iPortfolio" queryTableFieldId="169" dataDxfId="727"/>
    <tableColumn id="67" xr3:uid="{860719AA-AE4A-4885-A4A2-C3CE698A793E}" uniqueName="67" name="Has Registration" queryTableFieldId="170" dataDxfId="726"/>
    <tableColumn id="68" xr3:uid="{E0AAEB0F-EE3C-4F1B-A54E-F9F51A75B2B0}" uniqueName="68" name="OSA Portal Registration" queryTableFieldId="171" dataDxfId="725"/>
    <tableColumn id="48" xr3:uid="{525A7941-5988-44D4-85D8-0A1CF7BED96F}" uniqueName="48" name="Status" queryTableFieldId="187" dataDxfId="72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C19A62F-19A9-49DC-95FB-B930E784CBAC}" name="Sheet_1_Table_1_13" displayName="Sheet_1_Table_1_13" ref="B2:DN46" tableType="queryTable" totalsRowShown="0" headerRowDxfId="601" dataDxfId="599" headerRowBorderDxfId="600" tableBorderDxfId="598" totalsRowBorderDxfId="597">
  <autoFilter ref="B2:DN46" xr:uid="{A40E3A6D-1066-4C6D-8DC4-5DAEE3358E36}"/>
  <sortState xmlns:xlrd2="http://schemas.microsoft.com/office/spreadsheetml/2017/richdata2" ref="B3:DM40">
    <sortCondition ref="AK2:AK40"/>
  </sortState>
  <tableColumns count="117">
    <tableColumn id="1" xr3:uid="{69A75813-8944-4835-AC9A-C4DBE1807C0F}" uniqueName="1" name="Term" queryTableFieldId="1" dataDxfId="596"/>
    <tableColumn id="2" xr3:uid="{78B6606B-DC11-4618-B4D4-65B868ACFAB6}" uniqueName="2" name="Course Code" queryTableFieldId="2" dataDxfId="595"/>
    <tableColumn id="3" xr3:uid="{4AF47A3B-BC10-430E-AD12-C55DA3E9CEDB}" uniqueName="3" name="Part of Terms" queryTableFieldId="3" dataDxfId="594"/>
    <tableColumn id="4" xr3:uid="{E711E990-830A-493A-9E30-D1E0BF4DC675}" uniqueName="4" name="CRN" queryTableFieldId="4" dataDxfId="593"/>
    <tableColumn id="59" xr3:uid="{E5924613-B5A5-4BC1-8F77-2C1E7C047F15}" uniqueName="59" name="Department / Unit" queryTableFieldId="59" dataDxfId="592"/>
    <tableColumn id="33" xr3:uid="{B9A9889E-8B70-4D12-8FE8-3BA9DCF74A21}" uniqueName="33" name="Team" queryTableFieldId="176" dataDxfId="591"/>
    <tableColumn id="5" xr3:uid="{6585C4BC-D265-4F28-B77A-3CEF03DEF3EB}" uniqueName="5" name="Series Name (Chi)" queryTableFieldId="5" dataDxfId="590"/>
    <tableColumn id="6" xr3:uid="{4531446A-A5E4-44AD-9508-3D43BDF0A1AA}" uniqueName="6" name="Series Name (Eng)" queryTableFieldId="6" dataDxfId="589"/>
    <tableColumn id="7" xr3:uid="{1BE35D32-8791-4931-A698-8E72335179D7}" uniqueName="7" name="Activity Title (Chi)" queryTableFieldId="7" dataDxfId="588"/>
    <tableColumn id="8" xr3:uid="{B0DB1CB5-3551-4D7C-BEBD-E0DEFDD24189}" uniqueName="8" name="Activity Title (Eng)" queryTableFieldId="8" dataDxfId="587"/>
    <tableColumn id="57" xr3:uid="{89434EAD-3951-4F7D-ACD0-B714690AB2F5}" uniqueName="57" name="Session Title" queryTableFieldId="57" dataDxfId="586"/>
    <tableColumn id="9" xr3:uid="{BB47655B-6028-4205-BB8D-97EAE54B5DD0}" uniqueName="9" name="Objectives / Expected Learning Outcomes (Eng)" queryTableFieldId="9" dataDxfId="585"/>
    <tableColumn id="10" xr3:uid="{B016F316-1F70-477E-8DB9-8053D1483C06}" uniqueName="10" name="Description (Eng)" queryTableFieldId="10" dataDxfId="584"/>
    <tableColumn id="55" xr3:uid="{4115C901-3D5F-461F-AA3E-0F16D45D3ED1}" uniqueName="55" name="Include in Online Registration? _x000a_(Y/N)" queryTableFieldId="55" dataDxfId="583"/>
    <tableColumn id="44" xr3:uid="{1D7E4B07-0B0E-4852-BEF1-1312BB870B1D}" uniqueName="44" name="Send Auto-reminder? _x000a_(Y/N)" queryTableFieldId="178" dataDxfId="582"/>
    <tableColumn id="75" xr3:uid="{F44D5228-255F-40C5-9DD7-F75C705A926A}" uniqueName="75" name="Learning Domain" queryTableFieldId="76" dataDxfId="581"/>
    <tableColumn id="11" xr3:uid="{D479147D-6232-48F6-AA7C-6F7D2042B739}" uniqueName="11" name="Learning Domain (Short)" queryTableFieldId="11" dataDxfId="580"/>
    <tableColumn id="12" xr3:uid="{920831A6-413E-4748-B075-984CA9230837}" uniqueName="12" name="Leadership LS" queryTableFieldId="12" dataDxfId="579"/>
    <tableColumn id="13" xr3:uid="{C0040D16-0583-43CB-A4D7-946FA2281331}" uniqueName="13" name="Entrepreneurship ENT" queryTableFieldId="13" dataDxfId="578"/>
    <tableColumn id="14" xr3:uid="{E63AEB25-87BF-4BC7-AA70-DDBBA9FFBC2E}" uniqueName="14" name="Well-being (Physical) WBP" queryTableFieldId="14" dataDxfId="577"/>
    <tableColumn id="15" xr3:uid="{59383E8E-39D9-4489-A9F9-A1823576DB75}" uniqueName="15" name="Well-being (Mental) WBM" queryTableFieldId="15" dataDxfId="576"/>
    <tableColumn id="16" xr3:uid="{0843B30F-EC5F-4CBA-8D82-F43616267151}" uniqueName="16" name="Language Enhancement LE" queryTableFieldId="16" dataDxfId="575"/>
    <tableColumn id="17" xr3:uid="{E6ECFB33-B7B7-43DF-B202-8391DAB2E590}" uniqueName="17" name="Cross-Cultural Appreciation_x000a_&amp; Integration CCAI" queryTableFieldId="17" dataDxfId="574"/>
    <tableColumn id="18" xr3:uid="{FB492F29-5664-4B1B-9BD5-B98FA80E9A9B}" uniqueName="18" name="Sustainability SUS" queryTableFieldId="18" dataDxfId="573"/>
    <tableColumn id="19" xr3:uid="{BD4F4D09-B2B6-4AEE-BCCD-62172E8A622B}" uniqueName="19" name="Digital Literacy DL" queryTableFieldId="19" dataDxfId="572"/>
    <tableColumn id="20" xr3:uid="{3BCEE3EA-9936-44E1-B343-9D9FD1367D32}" uniqueName="20" name="Career Development  CR" queryTableFieldId="20" dataDxfId="571"/>
    <tableColumn id="22" xr3:uid="{80DB7A19-8FCF-44C7-A6DE-536A0FCDAA9B}" uniqueName="22" name="Total" queryTableFieldId="22" dataDxfId="570"/>
    <tableColumn id="106" xr3:uid="{AB910638-C0BB-41C3-AAE8-EF76278C274E}" uniqueName="106" name="Programme Type" queryTableFieldId="110" dataDxfId="569"/>
    <tableColumn id="23" xr3:uid="{00440453-026D-4C80-983A-CD2D82CEED83}" uniqueName="23" name="Delivery Mode" queryTableFieldId="23" dataDxfId="568"/>
    <tableColumn id="24" xr3:uid="{5EB76BDD-C72E-4291-89B5-BC5F5CD71D65}" uniqueName="24" name="Medium_x000a_of Instruction_x000a_(ENG)" queryTableFieldId="24" dataDxfId="567"/>
    <tableColumn id="77" xr3:uid="{BF35625C-AFDC-4DA3-8BB5-F4063B141B02}" uniqueName="77" name="Medium_x000a_of Instruction_x000a_(Cantonese)" queryTableFieldId="78" dataDxfId="566"/>
    <tableColumn id="76" xr3:uid="{DF16FDAE-66D7-4013-A3F3-E4D7FCEF805C}" uniqueName="76" name="Medium_x000a_of Instruction_x000a_(PTH)" queryTableFieldId="77" dataDxfId="565"/>
    <tableColumn id="26" xr3:uid="{925F1863-80FE-4729-9AD4-0023A4EB91F9}" uniqueName="26" name="ILP Units Per Session" queryTableFieldId="26" dataDxfId="564"/>
    <tableColumn id="27" xr3:uid="{B1FD0AE4-D500-49D6-AF8F-7FF00D862EEB}" uniqueName="27" name="Quota" queryTableFieldId="27" dataDxfId="563"/>
    <tableColumn id="28" xr3:uid="{186B01D2-E6DB-4266-9FE0-305E28F22727}" uniqueName="28" name="Total Units to be Offered" queryTableFieldId="28" dataDxfId="562"/>
    <tableColumn id="29" xr3:uid="{8A59B084-DABD-4574-AF61-CC2DC5CA5057}" uniqueName="29" name="Lesson 1 _x000a_Date _x000a_(DD-MMM-YYYY)" queryTableFieldId="29" dataDxfId="561"/>
    <tableColumn id="105" xr3:uid="{D89A28B6-78DC-441D-A0FF-5CB17E7CD248}" uniqueName="105" name="Lesson 1 (DOW)" queryTableFieldId="109" dataDxfId="560">
      <calculatedColumnFormula>WEEKDAY(Sheet_1_Table_1_13[[#This Row],[Lesson 1 
Date 
(DD-MMM-YYYY)]])</calculatedColumnFormula>
    </tableColumn>
    <tableColumn id="103" xr3:uid="{AAFE096E-61E6-4F49-95FA-8776A9AC74C0}" uniqueName="103" name="Lesson 1 _x000a_Start Time_x000a_(HH:MM)" queryTableFieldId="107" dataDxfId="559"/>
    <tableColumn id="56" xr3:uid="{55E58FA8-4A3C-41F2-B5CA-2E57D4B1FFC3}" uniqueName="56" name="Lesson 1_x000a_End Time_x000a_(HH:MM)" queryTableFieldId="163" dataDxfId="558"/>
    <tableColumn id="58" xr3:uid="{291AE247-8199-4281-B26A-5E676182522D}" uniqueName="58" name="Lesson 1 _x000a_Venue" queryTableFieldId="58" dataDxfId="557"/>
    <tableColumn id="113" xr3:uid="{1346E22C-B0E1-47DA-B27D-B19E4244D810}" uniqueName="113" name="Lesson 2_x000a_Date _x000a_(DD-MMM-YYYY)" queryTableFieldId="120" dataDxfId="556"/>
    <tableColumn id="114" xr3:uid="{899BAB39-AF17-4B64-A162-5F1713B05A95}" uniqueName="114" name="Lesson 2 (DOW)" queryTableFieldId="119" dataDxfId="555">
      <calculatedColumnFormula>WEEKDAY(Sheet_1_Table_1_13[[#This Row],[Lesson 1 
Date 
(DD-MMM-YYYY)]])</calculatedColumnFormula>
    </tableColumn>
    <tableColumn id="115" xr3:uid="{39F97876-FAF6-4292-BB85-B4C42E612699}" uniqueName="115" name="Lesson 2_x000a_Start Time_x000a_(HH:MM)" queryTableFieldId="118" dataDxfId="554"/>
    <tableColumn id="60" xr3:uid="{2C142D6D-32C2-4981-8DC5-2BBA7B80428A}" uniqueName="60" name="Lesson 2_x000a_End Time_x000a_(HH:MM)" queryTableFieldId="164" dataDxfId="553"/>
    <tableColumn id="116" xr3:uid="{91B11EF2-0883-4772-B68B-9A7F13739D17}" uniqueName="116" name="Lesson 2_x000a_ Venue" queryTableFieldId="117" dataDxfId="552"/>
    <tableColumn id="104" xr3:uid="{32D3066D-D821-4696-8386-6941335F6B87}" uniqueName="104" name="Lesson 3_x000a_Date _x000a_(DD-MMM-YYYY)" queryTableFieldId="108" dataDxfId="551"/>
    <tableColumn id="112" xr3:uid="{95858715-35D3-4431-A996-DC150A94BD84}" uniqueName="112" name="Lesson 3 (DOW)" queryTableFieldId="116" dataDxfId="550">
      <calculatedColumnFormula>WEEKDAY(Sheet_1_Table_1_13[[#This Row],[Lesson 1 
Date 
(DD-MMM-YYYY)]])</calculatedColumnFormula>
    </tableColumn>
    <tableColumn id="111" xr3:uid="{2F935B6D-C2E7-4276-ADE9-32B038B64F63}" uniqueName="111" name="Lesson 3_x000a_Start Time_x000a_(HH:MM)" queryTableFieldId="115" dataDxfId="549"/>
    <tableColumn id="62" xr3:uid="{68B2377F-BDA5-43FD-8038-1CE332E4C7AB}" uniqueName="62" name="Lesson 3_x000a_End Time_x000a_(HH:MM)" queryTableFieldId="165" dataDxfId="548"/>
    <tableColumn id="110" xr3:uid="{0917AA48-132B-4263-974D-5BBC73996FC7}" uniqueName="110" name="Lesson 3_x000a_ Venue" queryTableFieldId="114" dataDxfId="547"/>
    <tableColumn id="109" xr3:uid="{4D419D2D-D3A0-4D43-B804-5DF44BB62087}" uniqueName="109" name="Lesson 4_x000a_Date _x000a_(DD-MMM-YYYY)" queryTableFieldId="113" dataDxfId="546"/>
    <tableColumn id="108" xr3:uid="{5186282D-5359-4400-B870-BC5691D96E80}" uniqueName="108" name="Lesson 4 (DOW)" queryTableFieldId="112" dataDxfId="545">
      <calculatedColumnFormula>WEEKDAY(Sheet_1_Table_1_13[[#This Row],[Lesson 1 
Date 
(DD-MMM-YYYY)]])</calculatedColumnFormula>
    </tableColumn>
    <tableColumn id="117" xr3:uid="{C2437A30-0FFA-43AB-B4C6-BE75476F1869}" uniqueName="117" name="Lesson 4_x000a_Start Time_x000a_(HH:MM)" queryTableFieldId="121" dataDxfId="544"/>
    <tableColumn id="64" xr3:uid="{CC1CCBFB-0EB5-44D5-9EAF-0126020CC764}" uniqueName="64" name="Lesson 4_x000a_End Time_x000a_(HH:MM)" queryTableFieldId="166" dataDxfId="543"/>
    <tableColumn id="107" xr3:uid="{9030D5BE-214B-498C-A03A-6CBD5AB62116}" uniqueName="107" name="Lesson 4_x000a_ Venue" queryTableFieldId="111" dataDxfId="542"/>
    <tableColumn id="122" xr3:uid="{7AC2DFD7-71C1-4D21-B361-4DCE7C8DC681}" uniqueName="122" name="Lesson 5_x000a_Date _x000a_(DD-MMM-YYYY)" queryTableFieldId="130" dataDxfId="541"/>
    <tableColumn id="123" xr3:uid="{43931FD7-BCBB-431F-8479-DA45D18C3D4A}" uniqueName="123" name="Lesson 5 (DOW)" queryTableFieldId="129" dataDxfId="540">
      <calculatedColumnFormula>WEEKDAY(Sheet_1_Table_1_13[[#This Row],[Lesson 1 
Date 
(DD-MMM-YYYY)]])</calculatedColumnFormula>
    </tableColumn>
    <tableColumn id="124" xr3:uid="{432F0ACC-7F9D-462D-A3D4-7C383878ACDC}" uniqueName="124" name="Lesson 5_x000a_Start Time_x000a_(HH:MM)" queryTableFieldId="128" dataDxfId="539"/>
    <tableColumn id="65" xr3:uid="{94619272-C561-4505-8B10-2582A4A9CAC7}" uniqueName="65" name="Lesson 5_x000a_End Time_x000a_(HH:MM)" queryTableFieldId="167" dataDxfId="538"/>
    <tableColumn id="125" xr3:uid="{65D8D4F1-19D6-4565-9AD4-4E599526EC56}" uniqueName="125" name="Lesson 5_x000a_ Venue" queryTableFieldId="127" dataDxfId="537"/>
    <tableColumn id="118" xr3:uid="{9AEDAFF9-976D-489A-BD7B-C39E22EC915C}" uniqueName="118" name="Lesson 6_x000a_Date _x000a_(DD-MMM-YYYY)" queryTableFieldId="126" dataDxfId="536"/>
    <tableColumn id="119" xr3:uid="{A37B2C2E-2511-42E7-85E9-00D11E8F3744}" uniqueName="119" name="Lesson 6 (DOW)" queryTableFieldId="125" dataDxfId="535">
      <calculatedColumnFormula>WEEKDAY(Sheet_1_Table_1_13[[#This Row],[Lesson 1 
Date 
(DD-MMM-YYYY)]])</calculatedColumnFormula>
    </tableColumn>
    <tableColumn id="120" xr3:uid="{317575F8-2C79-4AE0-A42B-AAD42FB03DCE}" uniqueName="120" name="Lesson 6_x000a_Start Time_x000a_(HH:MM)" queryTableFieldId="124" dataDxfId="534"/>
    <tableColumn id="43" xr3:uid="{A0C7268F-B831-4BD1-AD22-EB42AAA25835}" uniqueName="43" name="Lesson 6_x000a_End Time_x000a_(HH:MM)" queryTableFieldId="162" dataDxfId="533"/>
    <tableColumn id="121" xr3:uid="{7DD9E67A-7E49-4A9C-83E2-91FB2A016699}" uniqueName="121" name="Lesson 6_x000a_ Venue" queryTableFieldId="123" dataDxfId="532"/>
    <tableColumn id="21" xr3:uid="{E6EED05C-4B40-4EB5-9EB3-618983BD6AFA}" uniqueName="21" name="Instructor / Speaker (1)_x000a_Title" queryTableFieldId="132" dataDxfId="531"/>
    <tableColumn id="34" xr3:uid="{D7A4E2D5-58EB-4CE3-8B40-FC146CF04E8D}" uniqueName="34" name="Instructor / Speaker (1)_x000a_First Name" queryTableFieldId="34" dataDxfId="530"/>
    <tableColumn id="30" xr3:uid="{39055718-94D2-4FE2-A219-B124733E9A4C}" uniqueName="30" name="Instructor / Speaker (1)_x000a_Last Name _x000a_(in CAPITAL letter)" queryTableFieldId="133" dataDxfId="529"/>
    <tableColumn id="35" xr3:uid="{F89D4F71-029B-4BEB-938F-2DFA9C4DDA76}" uniqueName="35" name="Instructor / Speaker (1)_x000a_Job Title" queryTableFieldId="35" dataDxfId="528"/>
    <tableColumn id="37" xr3:uid="{9CF2269B-8C4B-42AD-B204-E305BB38C8E3}" uniqueName="37" name="Instructor / Speaker (2)_x000a_Title" queryTableFieldId="137" dataDxfId="527"/>
    <tableColumn id="36" xr3:uid="{727C31DB-7FBB-4C76-A648-F864CF363176}" uniqueName="36" name="Instructor / Speaker (2)_x000a_First Name" queryTableFieldId="136" dataDxfId="526"/>
    <tableColumn id="32" xr3:uid="{AC4E7676-4E11-4ACA-AFDC-3D3C3E6EEB99}" uniqueName="32" name="Instructor / Speaker (2)_x000a_Last Name _x000a_(in CAPITAL letter)" queryTableFieldId="135" dataDxfId="525"/>
    <tableColumn id="31" xr3:uid="{7EFE6FF1-FE24-48D6-BF26-4F55F886DE6D}" uniqueName="31" name="Instructor / Speaker (2)_x000a_Job Title" queryTableFieldId="134" dataDxfId="524"/>
    <tableColumn id="40" xr3:uid="{1762D3FF-9306-4FBF-9319-529D195A48B1}" uniqueName="40" name="Fees" queryTableFieldId="179" dataDxfId="523"/>
    <tableColumn id="78" xr3:uid="{5A2FBEB1-478D-45A4-92B6-870F86C095CB}" uniqueName="78" name="Deposits" queryTableFieldId="79" dataDxfId="522"/>
    <tableColumn id="38" xr3:uid="{62FB027B-6541-4678-A93A-336D261863DB}" uniqueName="38" name="Assembly Time _x000a_(for Off-campus Visit)" queryTableFieldId="38" dataDxfId="521"/>
    <tableColumn id="69" xr3:uid="{516FBBAF-4B8B-41FB-9E4F-E03A33609B30}" uniqueName="69" name="Assembly Location_x000a_(for Off-campus Visit)" queryTableFieldId="172" dataDxfId="520"/>
    <tableColumn id="39" xr3:uid="{84F145DF-982F-4093-9F01-BFBA99D7FEE0}" uniqueName="39" name="Remarks to Students (if applicable)" queryTableFieldId="39" dataDxfId="519"/>
    <tableColumn id="70" xr3:uid="{4826741F-BBAC-4D5C-A3DE-559C931D1C9A}" uniqueName="70" name="Zoom URL_x000a_(if any)" queryTableFieldId="183" dataDxfId="518"/>
    <tableColumn id="42" xr3:uid="{4FBD64E1-C86D-45C4-B8DB-1B2DB9316981}" uniqueName="42" name="Meeting ID_x000a_(if any)" queryTableFieldId="181" dataDxfId="517"/>
    <tableColumn id="41" xr3:uid="{CF17600B-00AC-4F59-98D4-3EDFFA946F59}" uniqueName="41" name="Meeting Passcode_x000a_(if any)" queryTableFieldId="180" dataDxfId="516"/>
    <tableColumn id="72" xr3:uid="{14A7A57B-6551-40C7-B668-26696C74D944}" uniqueName="72" name="Programme In-charge 1_x000a_Name" queryTableFieldId="184" dataDxfId="515"/>
    <tableColumn id="73" xr3:uid="{BBFCC90E-BEC6-452B-8670-1034D99FD9FF}" uniqueName="73" name="Programme In-charge 1_x000a_Email" queryTableFieldId="185" dataDxfId="514"/>
    <tableColumn id="45" xr3:uid="{6839E66F-0D79-4C3B-AD29-ADF4D3A9C8C2}" uniqueName="45" name="Programme In-charge 2_x000a_Name" queryTableFieldId="45" dataDxfId="513"/>
    <tableColumn id="46" xr3:uid="{ACD59820-2055-4C41-8AEE-A4F8F1C47126}" uniqueName="46" name="Programme In-charge 2_x000a_Email" queryTableFieldId="46" dataDxfId="512"/>
    <tableColumn id="49" xr3:uid="{DD6AE7E5-4509-4959-95DC-204C004E0ADA}" uniqueName="49" name="Sustainable Development Goals (Y/N)" queryTableFieldId="49" dataDxfId="511"/>
    <tableColumn id="50" xr3:uid="{A034C127-71B6-4A36-984C-38BD761D9A9D}" uniqueName="50" name="SDG1 _x000a_No Poverty" queryTableFieldId="50" dataDxfId="510"/>
    <tableColumn id="51" xr3:uid="{CF0AB0D3-B906-4AEB-9D84-FABE961F61A0}" uniqueName="51" name="SDG2_x000a_Zero Hunger" queryTableFieldId="51" dataDxfId="509"/>
    <tableColumn id="52" xr3:uid="{40965D9D-F402-43DA-9B35-A34513D10735}" uniqueName="52" name="SDG3_x000a_Good Health and well-being" queryTableFieldId="52" dataDxfId="508"/>
    <tableColumn id="53" xr3:uid="{6FE27703-0CFA-4879-965A-4D42A02D8AAB}" uniqueName="53" name="SDG4_x000a_Quality Education" queryTableFieldId="53" dataDxfId="507"/>
    <tableColumn id="54" xr3:uid="{2625543E-E063-4243-A08E-7231C9B210B3}" uniqueName="54" name="SDG5_x000a_ Gender Equality" queryTableFieldId="54" dataDxfId="506"/>
    <tableColumn id="101" xr3:uid="{1562B71B-CBBE-4F0B-94A8-C31BAA659F43}" uniqueName="101" name="SDG6_x000a_ Clean Water &amp; Sanitation" queryTableFieldId="102" dataDxfId="505"/>
    <tableColumn id="100" xr3:uid="{39909ABD-6500-45F0-A86D-B443343F1777}" uniqueName="100" name="SDG7 Affordable &amp; Clean Energy" queryTableFieldId="101" dataDxfId="504"/>
    <tableColumn id="99" xr3:uid="{C275A61C-5CCB-41F1-B5E5-2F103132BDBA}" uniqueName="99" name="SDG8 _x000a_Decent Work &amp; Economic Growth" queryTableFieldId="100" dataDxfId="503"/>
    <tableColumn id="98" xr3:uid="{D72F3732-7D82-4F7C-AD2E-F190804BCD99}" uniqueName="98" name="SDG9_x000a_Industry, Innovation &amp; Infrastructure" queryTableFieldId="99" dataDxfId="502"/>
    <tableColumn id="97" xr3:uid="{7715FA03-2B66-407C-93A8-6EBB9C3D6EFF}" uniqueName="97" name="SDG10_x000a_ Reduced inequalities" queryTableFieldId="98" dataDxfId="501"/>
    <tableColumn id="96" xr3:uid="{F9E0F0CD-73D9-45A2-BB93-2529F90BA9D7}" uniqueName="96" name="SDG11 Sustainable Cities &amp; Communities" queryTableFieldId="97" dataDxfId="500"/>
    <tableColumn id="95" xr3:uid="{D201D527-4BEE-4DA9-9D24-732CD0304B52}" uniqueName="95" name="SDG12 Responsible Consumption &amp; Production" queryTableFieldId="96" dataDxfId="499"/>
    <tableColumn id="94" xr3:uid="{7E8C6EF4-4194-4058-801D-5E0494F6A85F}" uniqueName="94" name="SDG13_x000a_ Climate Action" queryTableFieldId="95" dataDxfId="498"/>
    <tableColumn id="93" xr3:uid="{EBBD1363-F683-4B5E-98F8-C08E9C8D3230}" uniqueName="93" name="SDG14_x000a_Life Below Water" queryTableFieldId="94" dataDxfId="497"/>
    <tableColumn id="92" xr3:uid="{E7ED3000-6B03-443F-8644-CB923FC76BCC}" uniqueName="92" name="SDG15 _x000a_Life on Land" queryTableFieldId="93" dataDxfId="496"/>
    <tableColumn id="91" xr3:uid="{7C3C6599-A2C5-4003-8CDA-4A5CE110BD28}" uniqueName="91" name="SDG16 Peace, Justice &amp; Strong Institutions" queryTableFieldId="92" dataDxfId="495"/>
    <tableColumn id="90" xr3:uid="{10DE72AF-4F73-4501-B9DE-BBED11C774CA}" uniqueName="90" name="SDG17 Partnerships for the Goals" queryTableFieldId="91" dataDxfId="494"/>
    <tableColumn id="63" xr3:uid="{5B635CB7-BE15-476A-BC29-90F0B86B5563}" uniqueName="63" name="Country/Place" queryTableFieldId="64" dataDxfId="493"/>
    <tableColumn id="83" xr3:uid="{779C3757-3084-4A29-9721-22AA1CDDE4B6}" uniqueName="83" name="Credit Type" queryTableFieldId="84" dataDxfId="492"/>
    <tableColumn id="84" xr3:uid="{F20C6442-C9A0-47E8-BA0E-5B229F95000D}" uniqueName="84" name="Data Type" queryTableFieldId="85" dataDxfId="491"/>
    <tableColumn id="61" xr3:uid="{320B68B9-CA71-434C-A71C-CF6D282C4968}" uniqueName="61" name="UAA" queryTableFieldId="62" dataDxfId="490"/>
    <tableColumn id="86" xr3:uid="{2B386FD3-2617-4CCE-9254-70D253AE9C06}" uniqueName="86" name="Programme Category" queryTableFieldId="87" dataDxfId="489"/>
    <tableColumn id="87" xr3:uid="{30FF24C8-727F-431F-8BFF-EC78C1696D68}" uniqueName="87" name="Whole Person Development Cocurriculum" queryTableFieldId="88" dataDxfId="488"/>
    <tableColumn id="88" xr3:uid="{89089AFE-3051-48FD-A9A3-F0DEB5DA0F65}" uniqueName="88" name="Moral Education" queryTableFieldId="89" dataDxfId="487"/>
    <tableColumn id="89" xr3:uid="{B44B2C51-AD7C-42E9-B9C7-C3BC355A54BF}" uniqueName="89" name="Social Responsible Citizenship" queryTableFieldId="90" dataDxfId="486"/>
    <tableColumn id="47" xr3:uid="{4F54B141-5FD6-4BFA-8A09-BB7B5026E7AA}" uniqueName="47" name="Lingnan Language Enhancement Initiative (L2EI)_x000a_(Y/N)" queryTableFieldId="186" dataDxfId="485"/>
    <tableColumn id="25" xr3:uid="{AB6D3982-A29F-41C9-8CF8-35E3CA491915}" uniqueName="25" name="Leadership Enhancement Programme (LEP)_x000a_(Y/N)" queryTableFieldId="25" dataDxfId="484"/>
    <tableColumn id="66" xr3:uid="{28E2877D-7F0A-488D-9A88-E69D8B577722}" uniqueName="66" name="TALENT - The Lingnan iPortfolio" queryTableFieldId="169" dataDxfId="483"/>
    <tableColumn id="67" xr3:uid="{EC8347D6-8902-4E80-B20B-7072301847BD}" uniqueName="67" name="Has Registration" queryTableFieldId="170" dataDxfId="482"/>
    <tableColumn id="68" xr3:uid="{AD1C47B1-76FE-4999-8873-194688E5B350}" uniqueName="68" name="OSA Portal Registration" queryTableFieldId="171" dataDxfId="481"/>
    <tableColumn id="48" xr3:uid="{47F7A7EB-D267-44E8-A0A6-308122D32677}" uniqueName="48" name="Status" queryTableFieldId="187" dataDxfId="480"/>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24D891F-B28E-4716-BC0C-FFBB0942DECB}" name="Sheet_1_Table_1_138" displayName="Sheet_1_Table_1_138" ref="B2:DN52" tableType="queryTable" totalsRowShown="0" headerRowDxfId="479" dataDxfId="477" headerRowBorderDxfId="478" tableBorderDxfId="476" totalsRowBorderDxfId="475">
  <autoFilter ref="B2:DN52" xr:uid="{A40E3A6D-1066-4C6D-8DC4-5DAEE3358E36}"/>
  <tableColumns count="117">
    <tableColumn id="1" xr3:uid="{F392DCA2-D346-49D7-BCE6-54B66FE35476}" uniqueName="1" name="Term" queryTableFieldId="1" dataDxfId="474"/>
    <tableColumn id="2" xr3:uid="{21738D0A-99BD-4FC1-9E92-0017EE987CA2}" uniqueName="2" name="Course Code" queryTableFieldId="2" dataDxfId="473"/>
    <tableColumn id="3" xr3:uid="{05AA5D6D-B097-4A78-9C88-594CA797BA31}" uniqueName="3" name="Part of Terms" queryTableFieldId="3" dataDxfId="472"/>
    <tableColumn id="4" xr3:uid="{CEFFBC22-F0DF-4D06-877C-7443D64DD601}" uniqueName="4" name="CRN" queryTableFieldId="4" dataDxfId="471"/>
    <tableColumn id="59" xr3:uid="{FA4213A4-2B77-4C0B-BA35-CDDCF3FD9CEA}" uniqueName="59" name="Department / Unit" queryTableFieldId="59" dataDxfId="470"/>
    <tableColumn id="33" xr3:uid="{5C109425-C2E8-4257-A5AF-3FB23141E1F6}" uniqueName="33" name="Team" queryTableFieldId="176" dataDxfId="469"/>
    <tableColumn id="5" xr3:uid="{F2119157-E77F-4CE1-88B1-BA357F379B0F}" uniqueName="5" name="Series Name (Chi)" queryTableFieldId="5" dataDxfId="468"/>
    <tableColumn id="6" xr3:uid="{2B2276A8-64A9-41E9-864A-A3379476D7B4}" uniqueName="6" name="Series Name (Eng)" queryTableFieldId="6" dataDxfId="467"/>
    <tableColumn id="7" xr3:uid="{D8A83F19-1682-498F-B599-53DEE16850F9}" uniqueName="7" name="Activity Title (Chi)" queryTableFieldId="7" dataDxfId="466"/>
    <tableColumn id="8" xr3:uid="{5684CE8F-0AB1-45A7-AC0C-020DE3FFDBA0}" uniqueName="8" name="Activity Title (Eng)" queryTableFieldId="8" dataDxfId="465"/>
    <tableColumn id="57" xr3:uid="{D8217239-2A77-47DB-BDE2-72EA5D66F2B4}" uniqueName="57" name="Session Title" queryTableFieldId="57" dataDxfId="464"/>
    <tableColumn id="9" xr3:uid="{893A2D7F-32A7-47E0-BA15-152388B953EA}" uniqueName="9" name="Objectives / Expected Learning Outcomes (Eng)" queryTableFieldId="9" dataDxfId="463"/>
    <tableColumn id="10" xr3:uid="{4B06C9F2-EF32-4150-A1E8-9F39D4CA2CD8}" uniqueName="10" name="Description (Eng)" queryTableFieldId="10" dataDxfId="462"/>
    <tableColumn id="55" xr3:uid="{92325338-C9AA-4A32-8A2E-12D5C195FED2}" uniqueName="55" name="Include in Online Registration? _x000a_(Y/N)" queryTableFieldId="55" dataDxfId="461"/>
    <tableColumn id="44" xr3:uid="{2537BABB-1A7A-4EBA-A629-9D5AEC994A62}" uniqueName="44" name="Send Auto-reminder? _x000a_(Y/N)" queryTableFieldId="178" dataDxfId="460"/>
    <tableColumn id="75" xr3:uid="{16051A6C-710C-4213-8C73-FC73A8948879}" uniqueName="75" name="Learning Domain" queryTableFieldId="76" dataDxfId="459"/>
    <tableColumn id="11" xr3:uid="{2E75F671-86CB-41B3-B213-9A38CD76D66A}" uniqueName="11" name="Learning Domain (Short)" queryTableFieldId="11" dataDxfId="458"/>
    <tableColumn id="12" xr3:uid="{7A728F21-CDC0-4EE1-A6D4-4935412267C5}" uniqueName="12" name="Leadership LS" queryTableFieldId="12" dataDxfId="457"/>
    <tableColumn id="13" xr3:uid="{718B90D0-74AD-4033-A05F-97DF3C1CD2B5}" uniqueName="13" name="Entrepreneurship ENT" queryTableFieldId="13" dataDxfId="456"/>
    <tableColumn id="14" xr3:uid="{4D0BC0DE-5C80-47DD-9AED-FEFE5E6946FC}" uniqueName="14" name="Well-being (Physical) WBP" queryTableFieldId="14" dataDxfId="455"/>
    <tableColumn id="15" xr3:uid="{631C56C3-9EEF-4F19-A68C-34280609A0A2}" uniqueName="15" name="Well-being (Mental) WBM" queryTableFieldId="15" dataDxfId="454"/>
    <tableColumn id="16" xr3:uid="{EA834FA6-2356-4F48-BB8A-AEA97CD3151C}" uniqueName="16" name="Language Enhancement LE" queryTableFieldId="16" dataDxfId="453"/>
    <tableColumn id="17" xr3:uid="{FC3FD7DD-7C52-4F82-82D4-0A96D1C814DD}" uniqueName="17" name="Cross-Cultural Appreciation_x000a_&amp; Integration CCAI" queryTableFieldId="17" dataDxfId="452"/>
    <tableColumn id="18" xr3:uid="{683F25D8-C11C-43DD-A924-C3D713DBB7A7}" uniqueName="18" name="Sustainability SUS" queryTableFieldId="18" dataDxfId="451"/>
    <tableColumn id="19" xr3:uid="{BDBB6666-0E9C-42F7-9FD4-7EE87C3FBB6D}" uniqueName="19" name="Digital Literacy DL" queryTableFieldId="19" dataDxfId="450"/>
    <tableColumn id="20" xr3:uid="{740F99FC-7ADA-4F1D-8175-1A6660A1FACB}" uniqueName="20" name="Career Development  CR" queryTableFieldId="20" dataDxfId="449"/>
    <tableColumn id="22" xr3:uid="{F2E5972C-B97B-4F14-AC81-AAA62AF6EB75}" uniqueName="22" name="Total" queryTableFieldId="22" dataDxfId="448"/>
    <tableColumn id="106" xr3:uid="{D31B4FC6-339D-4E07-A7B1-6673B497F212}" uniqueName="106" name="Programme Type" queryTableFieldId="110" dataDxfId="447"/>
    <tableColumn id="23" xr3:uid="{5FDEBAEB-3803-47DD-BF15-DD4BC1798C7F}" uniqueName="23" name="Delivery Mode" queryTableFieldId="23" dataDxfId="446"/>
    <tableColumn id="24" xr3:uid="{85175855-D178-4DD1-A88A-4DC52E08531A}" uniqueName="24" name="Medium_x000a_of Instruction_x000a_(ENG)" queryTableFieldId="24" dataDxfId="445"/>
    <tableColumn id="77" xr3:uid="{D716A773-10DE-475F-8051-2C77EE96BDF4}" uniqueName="77" name="Medium_x000a_of Instruction_x000a_(Cantonese)" queryTableFieldId="78" dataDxfId="444"/>
    <tableColumn id="76" xr3:uid="{06F33392-FF1B-45AF-A795-D278D7EA67C9}" uniqueName="76" name="Medium_x000a_of Instruction_x000a_(PTH)" queryTableFieldId="77" dataDxfId="443"/>
    <tableColumn id="26" xr3:uid="{5639125F-E94C-4C47-898C-EFD1804D877D}" uniqueName="26" name="ILP Units Per Session" queryTableFieldId="26" dataDxfId="442"/>
    <tableColumn id="27" xr3:uid="{200A829B-6B04-4351-89B0-2AFB176CAFF4}" uniqueName="27" name="Quota" queryTableFieldId="27" dataDxfId="441"/>
    <tableColumn id="28" xr3:uid="{5585D621-4019-45AB-89D4-D6EE8318C94D}" uniqueName="28" name="Total Units to be Offered" queryTableFieldId="28" dataDxfId="440"/>
    <tableColumn id="29" xr3:uid="{C127F129-0FF7-44BB-A0B4-7A3E84844D50}" uniqueName="29" name="Lesson 1 _x000a_Date _x000a_(DD-MMM-YYYY)" queryTableFieldId="29" dataDxfId="439"/>
    <tableColumn id="105" xr3:uid="{FE523A9B-9B1D-4DC8-818A-293E22379556}" uniqueName="105" name="Lesson 1 (DOW)" queryTableFieldId="109" dataDxfId="438">
      <calculatedColumnFormula>WEEKDAY(Sheet_1_Table_1_138[[#This Row],[Lesson 1 
Date 
(DD-MMM-YYYY)]])</calculatedColumnFormula>
    </tableColumn>
    <tableColumn id="103" xr3:uid="{616E98B4-6743-479F-AA88-E49DF8D91211}" uniqueName="103" name="Lesson 1 _x000a_Start Time_x000a_(HH:MM)" queryTableFieldId="107" dataDxfId="437"/>
    <tableColumn id="56" xr3:uid="{5E4C9C9A-60AD-4629-84C9-0814D5D5D910}" uniqueName="56" name="Lesson 1_x000a_End Time_x000a_(HH:MM)" queryTableFieldId="163" dataDxfId="436"/>
    <tableColumn id="58" xr3:uid="{A7DB7493-3661-4D9A-99C8-53873DB41037}" uniqueName="58" name="Lesson 1 _x000a_Venue" queryTableFieldId="58" dataDxfId="435"/>
    <tableColumn id="113" xr3:uid="{742C4576-D1D9-4EF0-AFA4-DB683A2F66B8}" uniqueName="113" name="Lesson 2_x000a_Date _x000a_(DD-MMM-YYYY)" queryTableFieldId="120" dataDxfId="434"/>
    <tableColumn id="114" xr3:uid="{282EAA75-51C1-4895-BAE9-4D2F849DCD95}" uniqueName="114" name="Lesson 2 (DOW)" queryTableFieldId="119" dataDxfId="433">
      <calculatedColumnFormula>WEEKDAY(Sheet_1_Table_1_138[[#This Row],[Lesson 2
Date 
(DD-MMM-YYYY)]])</calculatedColumnFormula>
    </tableColumn>
    <tableColumn id="115" xr3:uid="{74D4730C-0A44-4C4A-956E-F2330C12D080}" uniqueName="115" name="Lesson 2_x000a_Start Time_x000a_(HH:MM)" queryTableFieldId="118" dataDxfId="432"/>
    <tableColumn id="60" xr3:uid="{4FA6B72E-B30E-45E7-B4A3-C2C1C7DAF723}" uniqueName="60" name="Lesson 2_x000a_End Time_x000a_(HH:MM)" queryTableFieldId="164" dataDxfId="431"/>
    <tableColumn id="116" xr3:uid="{D6A6D5BA-1297-4AEB-AA66-EB37353E83CA}" uniqueName="116" name="Lesson 2_x000a_ Venue" queryTableFieldId="117" dataDxfId="430"/>
    <tableColumn id="104" xr3:uid="{8CB71F16-0F05-4046-B70D-B2ECA16FB7F7}" uniqueName="104" name="Lesson 3_x000a_Date _x000a_(DD-MMM-YYYY)" queryTableFieldId="108" dataDxfId="429"/>
    <tableColumn id="112" xr3:uid="{58EB4869-A8AE-4A6A-93A8-7F7E4B6542DF}" uniqueName="112" name="Lesson 3 (DOW)" queryTableFieldId="116" dataDxfId="428">
      <calculatedColumnFormula>WEEKDAY(Sheet_1_Table_1_138[[#This Row],[Lesson 3
Date 
(DD-MMM-YYYY)]])</calculatedColumnFormula>
    </tableColumn>
    <tableColumn id="111" xr3:uid="{B95320D2-8AD6-491A-9A12-A56023D9D63F}" uniqueName="111" name="Lesson 3_x000a_Start Time_x000a_(HH:MM)" queryTableFieldId="115" dataDxfId="427"/>
    <tableColumn id="62" xr3:uid="{7C67EB64-7846-49E4-888B-1687C1C2770C}" uniqueName="62" name="Lesson 3_x000a_End Time_x000a_(HH:MM)" queryTableFieldId="165" dataDxfId="426"/>
    <tableColumn id="110" xr3:uid="{91ABE4C5-861D-476E-BE50-FD620D0ECDE9}" uniqueName="110" name="Lesson 3_x000a_ Venue" queryTableFieldId="114" dataDxfId="425"/>
    <tableColumn id="109" xr3:uid="{7A453948-92A5-4D3E-B153-98B5C4E762DB}" uniqueName="109" name="Lesson 4_x000a_Date _x000a_(DD-MMM-YYYY)" queryTableFieldId="113" dataDxfId="424"/>
    <tableColumn id="108" xr3:uid="{A7B0045E-9094-4077-B229-84E341E0FD5F}" uniqueName="108" name="Lesson 4 (DOW)" queryTableFieldId="112" dataDxfId="423">
      <calculatedColumnFormula>WEEKDAY(Sheet_1_Table_1_138[[#This Row],[Lesson 4
Date 
(DD-MMM-YYYY)]])</calculatedColumnFormula>
    </tableColumn>
    <tableColumn id="117" xr3:uid="{0511D2FB-DAC0-4B8D-B4CF-271F5626B47C}" uniqueName="117" name="Lesson 4_x000a_Start Time_x000a_(HH:MM)" queryTableFieldId="121" dataDxfId="422"/>
    <tableColumn id="64" xr3:uid="{033C6091-17FA-4AAE-8117-A7626F9426B7}" uniqueName="64" name="Lesson 4_x000a_End Time_x000a_(HH:MM)" queryTableFieldId="166" dataDxfId="421"/>
    <tableColumn id="107" xr3:uid="{F2B5FFD5-D707-4A00-A6C4-4FAAF9B13678}" uniqueName="107" name="Lesson 4_x000a_ Venue" queryTableFieldId="111" dataDxfId="420"/>
    <tableColumn id="122" xr3:uid="{77237107-503E-4830-BFAD-8D67B732B468}" uniqueName="122" name="Lesson 5_x000a_Date _x000a_(DD-MMM-YYYY)" queryTableFieldId="130" dataDxfId="419"/>
    <tableColumn id="123" xr3:uid="{C9ACD738-4BD1-45FC-A876-C36263586EBE}" uniqueName="123" name="Lesson 5 (DOW)" queryTableFieldId="129" dataDxfId="418">
      <calculatedColumnFormula>WEEKDAY(Sheet_1_Table_1_138[[#This Row],[Lesson 5
Date 
(DD-MMM-YYYY)]])</calculatedColumnFormula>
    </tableColumn>
    <tableColumn id="124" xr3:uid="{15AF4AA2-EF88-4D3C-9AA7-1DB87E5D679A}" uniqueName="124" name="Lesson 5_x000a_Start Time_x000a_(HH:MM)" queryTableFieldId="128" dataDxfId="417"/>
    <tableColumn id="65" xr3:uid="{452C60AA-EE3B-4B55-B7B0-132FE547F22C}" uniqueName="65" name="Lesson 5_x000a_End Time_x000a_(HH:MM)" queryTableFieldId="167" dataDxfId="416"/>
    <tableColumn id="125" xr3:uid="{7753C9B3-C575-4B64-9AED-C6B5BBD5CC28}" uniqueName="125" name="Lesson 5_x000a_ Venue" queryTableFieldId="127" dataDxfId="415"/>
    <tableColumn id="118" xr3:uid="{E0EB0834-E203-4C6C-8455-78FC09888593}" uniqueName="118" name="Lesson 6_x000a_Date _x000a_(DD-MMM-YYYY)" queryTableFieldId="126" dataDxfId="414"/>
    <tableColumn id="119" xr3:uid="{4B8C0122-59FD-4B4E-99F2-063D626251B0}" uniqueName="119" name="Lesson 6 (DOW)" queryTableFieldId="125" dataDxfId="413">
      <calculatedColumnFormula>WEEKDAY(Sheet_1_Table_1_138[[#This Row],[Lesson 6
Date 
(DD-MMM-YYYY)]])</calculatedColumnFormula>
    </tableColumn>
    <tableColumn id="120" xr3:uid="{D86E1515-5041-4355-845C-226BEDA56765}" uniqueName="120" name="Lesson 6_x000a_Start Time_x000a_(HH:MM)" queryTableFieldId="124" dataDxfId="412"/>
    <tableColumn id="43" xr3:uid="{98A6184C-0FD6-4B2E-A293-64422DCE199C}" uniqueName="43" name="Lesson 6_x000a_End Time_x000a_(HH:MM)" queryTableFieldId="162" dataDxfId="411"/>
    <tableColumn id="121" xr3:uid="{57319096-CB0A-4BF3-9FC0-61EA825326A0}" uniqueName="121" name="Lesson 6_x000a_ Venue" queryTableFieldId="123" dataDxfId="410"/>
    <tableColumn id="21" xr3:uid="{6980C884-BD4E-4538-A2EE-335DA6505108}" uniqueName="21" name="Instructor / Speaker (1)_x000a_Title" queryTableFieldId="132" dataDxfId="409"/>
    <tableColumn id="34" xr3:uid="{9A02D438-9C25-4F88-B094-989E88E6614D}" uniqueName="34" name="Instructor / Speaker (1)_x000a_First Name" queryTableFieldId="34" dataDxfId="408"/>
    <tableColumn id="30" xr3:uid="{04EDD0A6-0D53-4470-9171-540B8D6D3DB0}" uniqueName="30" name="Instructor / Speaker (1)_x000a_Last Name _x000a_(in CAPITAL letter)" queryTableFieldId="133" dataDxfId="407"/>
    <tableColumn id="35" xr3:uid="{E54EB20D-D26E-4501-BE6E-66A2D6C9369A}" uniqueName="35" name="Instructor / Speaker (1)_x000a_Job Title" queryTableFieldId="35" dataDxfId="406"/>
    <tableColumn id="37" xr3:uid="{170B8DE6-0834-49FB-ADE2-AF03A22269F2}" uniqueName="37" name="Instructor / Speaker (2)_x000a_Title" queryTableFieldId="137" dataDxfId="405"/>
    <tableColumn id="36" xr3:uid="{78FF06B3-6DED-465C-A205-0521BD6C1AB2}" uniqueName="36" name="Instructor / Speaker (2)_x000a_First Name" queryTableFieldId="136" dataDxfId="404"/>
    <tableColumn id="32" xr3:uid="{19020634-A563-4EEC-AC59-BE278644E805}" uniqueName="32" name="Instructor / Speaker (2)_x000a_Last Name _x000a_(in CAPITAL letter)" queryTableFieldId="135" dataDxfId="403"/>
    <tableColumn id="31" xr3:uid="{903ACA39-CB75-44AA-BB4A-1E409D59096F}" uniqueName="31" name="Instructor / Speaker (2)_x000a_Job Title" queryTableFieldId="134" dataDxfId="402"/>
    <tableColumn id="40" xr3:uid="{9E7A6FBD-D122-437B-AADD-DA16C467945F}" uniqueName="40" name="Fees" queryTableFieldId="179" dataDxfId="401"/>
    <tableColumn id="78" xr3:uid="{CA204C9F-7B5E-41E4-8665-F7C1C3E3A334}" uniqueName="78" name="Deposits" queryTableFieldId="79" dataDxfId="400"/>
    <tableColumn id="38" xr3:uid="{130E1C20-C55B-4134-8BAB-5CDF4AFEDC1C}" uniqueName="38" name="Assembly Time _x000a_(for Off-campus Visit)" queryTableFieldId="38" dataDxfId="399"/>
    <tableColumn id="69" xr3:uid="{9B3EED42-4A7F-408D-989B-C926C04C459E}" uniqueName="69" name="Assembly Location_x000a_(for Off-campus Visit)" queryTableFieldId="172" dataDxfId="398"/>
    <tableColumn id="39" xr3:uid="{5DEDACB9-B93C-4978-8317-0F0B02F1C56E}" uniqueName="39" name="Remarks to Students (if applicable)" queryTableFieldId="39" dataDxfId="397"/>
    <tableColumn id="70" xr3:uid="{77D2A096-E478-4934-B90A-78DC1AD12518}" uniqueName="70" name="Zoom URL_x000a_(if any)" queryTableFieldId="183" dataDxfId="396"/>
    <tableColumn id="42" xr3:uid="{1AE0DC7D-8AD9-49CA-992B-7182732EB8DC}" uniqueName="42" name="Meeting ID_x000a_(if any)" queryTableFieldId="181" dataDxfId="395"/>
    <tableColumn id="41" xr3:uid="{C378E3B2-E7F7-4284-8D71-700C14BE4024}" uniqueName="41" name="Meeting Passcode_x000a_(if any)" queryTableFieldId="180" dataDxfId="394"/>
    <tableColumn id="72" xr3:uid="{47FF6F31-CD05-43AC-AD94-CFA22678AC96}" uniqueName="72" name="Programme In-charge 1_x000a_Name" queryTableFieldId="184" dataDxfId="393"/>
    <tableColumn id="73" xr3:uid="{FE2A8C26-289D-4920-AB22-000F1B21A0B9}" uniqueName="73" name="Programme In-charge 1_x000a_Email" queryTableFieldId="185" dataDxfId="392"/>
    <tableColumn id="45" xr3:uid="{391C7BC8-AFEB-400A-B910-ED6BC8E0F358}" uniqueName="45" name="Programme In-charge 2_x000a_Name" queryTableFieldId="45" dataDxfId="391"/>
    <tableColumn id="46" xr3:uid="{D770EA04-243D-478D-A3C6-43C8CB69B728}" uniqueName="46" name="Programme In-charge 2_x000a_Email" queryTableFieldId="46" dataDxfId="390"/>
    <tableColumn id="49" xr3:uid="{C02ADF66-0E02-4DCF-93C5-8114D0BA0C38}" uniqueName="49" name="Sustainable Development Goals (Y/N)" queryTableFieldId="49" dataDxfId="389"/>
    <tableColumn id="50" xr3:uid="{A7320208-361D-4F9E-96D8-9D605062DF4D}" uniqueName="50" name="SDG1 _x000a_No Poverty" queryTableFieldId="50" dataDxfId="388"/>
    <tableColumn id="51" xr3:uid="{0DDA53F7-F36E-424F-9D54-6D0C27F0078E}" uniqueName="51" name="SDG2_x000a_Zero Hunger" queryTableFieldId="51" dataDxfId="387"/>
    <tableColumn id="52" xr3:uid="{82334B8A-CBE2-4707-A913-6165749E6252}" uniqueName="52" name="SDG3_x000a_Good Health and well-being" queryTableFieldId="52" dataDxfId="386"/>
    <tableColumn id="53" xr3:uid="{FD11335F-42B8-49EF-8BE2-F9A2733EE180}" uniqueName="53" name="SDG4_x000a_Quality Education" queryTableFieldId="53" dataDxfId="385"/>
    <tableColumn id="54" xr3:uid="{89A48372-8F0D-4B8E-AB15-9A15CC557F90}" uniqueName="54" name="SDG5_x000a_ Gender Equality" queryTableFieldId="54" dataDxfId="384"/>
    <tableColumn id="101" xr3:uid="{8D25CF5D-BE54-43CA-9AA7-5CAEAB582625}" uniqueName="101" name="SDG6_x000a_ Clean Water &amp; Sanitation" queryTableFieldId="102" dataDxfId="383"/>
    <tableColumn id="100" xr3:uid="{BB3D6999-0A30-497A-90DC-9483AE6B5044}" uniqueName="100" name="SDG7 Affordable &amp; Clean Energy" queryTableFieldId="101" dataDxfId="382"/>
    <tableColumn id="99" xr3:uid="{CE0A2A40-3E2C-481A-8D0B-DB6FF7EBAD45}" uniqueName="99" name="SDG8 _x000a_Decent Work &amp; Economic Growth" queryTableFieldId="100" dataDxfId="381"/>
    <tableColumn id="98" xr3:uid="{50448F0B-E232-4B20-93E7-8290A189AF30}" uniqueName="98" name="SDG9_x000a_Industry, Innovation &amp; Infrastructure" queryTableFieldId="99" dataDxfId="380"/>
    <tableColumn id="97" xr3:uid="{72F1BB86-4528-4D30-ADF5-BC214FE1DF01}" uniqueName="97" name="SDG10_x000a_ Reduced inequalities" queryTableFieldId="98" dataDxfId="379"/>
    <tableColumn id="96" xr3:uid="{67DE8654-0079-43EA-817A-1A5285CD9B8F}" uniqueName="96" name="SDG11 Sustainable Cities &amp; Communities" queryTableFieldId="97" dataDxfId="378"/>
    <tableColumn id="95" xr3:uid="{431551E8-6B96-4758-AD0B-1C559A0BE4E1}" uniqueName="95" name="SDG12 Responsible Consumption &amp; Production" queryTableFieldId="96" dataDxfId="377"/>
    <tableColumn id="94" xr3:uid="{BA824189-517A-407D-9BE6-E3A9EA52FFDB}" uniqueName="94" name="SDG13_x000a_ Climate Action" queryTableFieldId="95" dataDxfId="376"/>
    <tableColumn id="93" xr3:uid="{2DF1ECA7-73D2-46DC-9AAA-0CD2ECF66859}" uniqueName="93" name="SDG14_x000a_Life Below Water" queryTableFieldId="94" dataDxfId="375"/>
    <tableColumn id="92" xr3:uid="{0FBEC211-FC23-4F34-A6D8-383F5BF46523}" uniqueName="92" name="SDG15 _x000a_Life on Land" queryTableFieldId="93" dataDxfId="374"/>
    <tableColumn id="91" xr3:uid="{C970545B-9A82-4104-9D46-2850CA3BC40D}" uniqueName="91" name="SDG16 Peace, Justice &amp; Strong Institutions" queryTableFieldId="92" dataDxfId="373"/>
    <tableColumn id="90" xr3:uid="{BF2C058E-7440-4970-AFBA-F90EC440F28C}" uniqueName="90" name="SDG17 Partnerships for the Goals" queryTableFieldId="91" dataDxfId="372"/>
    <tableColumn id="63" xr3:uid="{2F472FA0-46C3-443B-BF97-8836C767CAC6}" uniqueName="63" name="Country/Place" queryTableFieldId="64" dataDxfId="371"/>
    <tableColumn id="83" xr3:uid="{CCBCE624-6EC9-4A31-B0E1-169D33662C35}" uniqueName="83" name="Credit Type" queryTableFieldId="84" dataDxfId="370"/>
    <tableColumn id="84" xr3:uid="{F45A3F74-58B4-4A6E-A1F7-D03B9EEE2A2D}" uniqueName="84" name="Data Type" queryTableFieldId="85" dataDxfId="369"/>
    <tableColumn id="61" xr3:uid="{764B64BF-71D4-4A40-A4D4-521885763E91}" uniqueName="61" name="UAA" queryTableFieldId="62" dataDxfId="368"/>
    <tableColumn id="86" xr3:uid="{28DEE598-C056-455E-B535-9519AF477501}" uniqueName="86" name="Programme Category" queryTableFieldId="87" dataDxfId="367"/>
    <tableColumn id="87" xr3:uid="{EACCEB80-48EE-4F8F-A212-5EFAB766F680}" uniqueName="87" name="Whole Person Development Cocurriculum" queryTableFieldId="88" dataDxfId="366"/>
    <tableColumn id="88" xr3:uid="{293FBD18-F009-4421-99CE-002446E3D704}" uniqueName="88" name="Moral Education" queryTableFieldId="89" dataDxfId="365"/>
    <tableColumn id="89" xr3:uid="{58930991-938C-4C41-A04C-AFEDE2B7F473}" uniqueName="89" name="Social Responsible Citizenship" queryTableFieldId="90" dataDxfId="364"/>
    <tableColumn id="47" xr3:uid="{3189ACEC-24F9-400D-B43B-B6AB45C99E1A}" uniqueName="47" name="Lingnan Language Enhancement Initiative (L2EI)_x000a_(Y/N)" queryTableFieldId="186" dataDxfId="363"/>
    <tableColumn id="25" xr3:uid="{A6B86D50-5974-43B7-93A1-2C6034309199}" uniqueName="25" name="Leadership Enhancement Programme (LEP)_x000a_(Y/N)" queryTableFieldId="25" dataDxfId="362"/>
    <tableColumn id="66" xr3:uid="{BE5BB91A-D910-4C3A-8981-2AED3FF1B541}" uniqueName="66" name="TALENT - The Lingnan iPortfolio" queryTableFieldId="169" dataDxfId="361"/>
    <tableColumn id="67" xr3:uid="{23EA570B-111F-42BE-B72B-5C0391644D9F}" uniqueName="67" name="Has Registration" queryTableFieldId="170" dataDxfId="360"/>
    <tableColumn id="68" xr3:uid="{A69AE841-3C04-49C2-B0E7-51E29EF8989A}" uniqueName="68" name="OSA Portal Registration" queryTableFieldId="171" dataDxfId="359"/>
    <tableColumn id="48" xr3:uid="{659B05AA-1B53-4E5D-9578-D2EB22B9BDDE}" uniqueName="48" name="Status" queryTableFieldId="188" dataDxfId="358"/>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680B597-4301-4E6E-BFFD-445E94B6384E}" name="Sheet_1_Table_1_133" displayName="Sheet_1_Table_1_133" ref="B2:DN44" tableType="queryTable" totalsRowShown="0" headerRowDxfId="357" dataDxfId="355" headerRowBorderDxfId="356" tableBorderDxfId="354" totalsRowBorderDxfId="353">
  <autoFilter ref="B2:DN44" xr:uid="{A40E3A6D-1066-4C6D-8DC4-5DAEE3358E36}"/>
  <tableColumns count="117">
    <tableColumn id="1" xr3:uid="{930B90FE-B301-42C0-81A6-55620C9A0577}" uniqueName="1" name="Term" queryTableFieldId="1" dataDxfId="352"/>
    <tableColumn id="2" xr3:uid="{CBABE2A0-56E6-40C3-8521-080FC30FDACE}" uniqueName="2" name="Course Code" queryTableFieldId="2" dataDxfId="351"/>
    <tableColumn id="3" xr3:uid="{28D982DA-59B6-4A3F-A07E-CF2CD3534AA4}" uniqueName="3" name="Part of Terms" queryTableFieldId="3" dataDxfId="350"/>
    <tableColumn id="4" xr3:uid="{A89CD247-1E9E-4AE3-B478-F94713219FC1}" uniqueName="4" name="CRN" queryTableFieldId="4" dataDxfId="349"/>
    <tableColumn id="59" xr3:uid="{F4AA4FD3-B050-4988-8370-029D6D4D5410}" uniqueName="59" name="Department / Unit" queryTableFieldId="59" dataDxfId="348"/>
    <tableColumn id="33" xr3:uid="{A4E2218A-5385-4CA2-BCFF-4336584B958E}" uniqueName="33" name="Team" queryTableFieldId="176" dataDxfId="347"/>
    <tableColumn id="5" xr3:uid="{9A76F67E-413A-492E-85EA-A9D3E9A21DD7}" uniqueName="5" name="Series Name (Chi)" queryTableFieldId="5" dataDxfId="346"/>
    <tableColumn id="6" xr3:uid="{659B6C7D-786B-49F6-966C-F07BA7707531}" uniqueName="6" name="Series Name (Eng)" queryTableFieldId="6" dataDxfId="345"/>
    <tableColumn id="7" xr3:uid="{D7AE79F3-0A36-438D-A9CB-644C2A4A983B}" uniqueName="7" name="Activity Title (Chi)" queryTableFieldId="7" dataDxfId="344"/>
    <tableColumn id="8" xr3:uid="{129350F3-AA18-49A0-BA92-9E65CF1EA070}" uniqueName="8" name="Activity Title (Eng)" queryTableFieldId="8" dataDxfId="343"/>
    <tableColumn id="57" xr3:uid="{FD11846B-1073-4F68-8B94-41012C8BC811}" uniqueName="57" name="Session Title" queryTableFieldId="57" dataDxfId="342"/>
    <tableColumn id="9" xr3:uid="{9E151A84-D3B0-4FEB-BEC2-F0F57B8F7239}" uniqueName="9" name="Objectives / Expected Learning Outcomes (Eng)" queryTableFieldId="9" dataDxfId="341"/>
    <tableColumn id="10" xr3:uid="{F01FDE15-372F-4215-921A-AF2F8890B223}" uniqueName="10" name="Description (Eng)" queryTableFieldId="10" dataDxfId="340"/>
    <tableColumn id="55" xr3:uid="{98E559A4-2E69-4871-BAB2-B5B793EFB6C3}" uniqueName="55" name="Include in Online Registration? _x000a_(Y/N)" queryTableFieldId="55" dataDxfId="339"/>
    <tableColumn id="44" xr3:uid="{8C4AE2A2-B243-475A-A4F9-CE474189AFCF}" uniqueName="44" name="Send Auto-reminder? _x000a_(Y/N)" queryTableFieldId="178" dataDxfId="338"/>
    <tableColumn id="75" xr3:uid="{5A2A6908-B070-4F97-BD4F-3E64C8899FFE}" uniqueName="75" name="Learning Domain" queryTableFieldId="76" dataDxfId="337"/>
    <tableColumn id="11" xr3:uid="{13960E96-EED1-4D6C-B229-56B221CDBDCF}" uniqueName="11" name="Learning Domain (Short)" queryTableFieldId="11" dataDxfId="336"/>
    <tableColumn id="12" xr3:uid="{39A7E4D1-2B95-44AA-B39A-1E21B89146DE}" uniqueName="12" name="Leadership LS" queryTableFieldId="12" dataDxfId="335"/>
    <tableColumn id="13" xr3:uid="{E086F06E-C4F7-4E16-9FBF-14845CF8EEB0}" uniqueName="13" name="Entrepreneurship ENT" queryTableFieldId="13" dataDxfId="334"/>
    <tableColumn id="14" xr3:uid="{BC4B3F70-60F6-40A5-AFDF-FE6CEC5E744F}" uniqueName="14" name="Well-being (Physical) WBP" queryTableFieldId="14" dataDxfId="333"/>
    <tableColumn id="15" xr3:uid="{524E2B67-169A-40F7-84FB-C61A9629A945}" uniqueName="15" name="Well-being (Mental) WBM" queryTableFieldId="15" dataDxfId="332"/>
    <tableColumn id="16" xr3:uid="{2827018E-5178-4B6A-9208-FFCBE9C028C1}" uniqueName="16" name="Language Enhancement LE" queryTableFieldId="16" dataDxfId="331"/>
    <tableColumn id="17" xr3:uid="{966B0B63-549E-4D11-95E1-F0B297E46B5A}" uniqueName="17" name="Cross-Cultural Appreciation_x000a_&amp; Integration CCAI" queryTableFieldId="17" dataDxfId="330"/>
    <tableColumn id="18" xr3:uid="{6A9AF517-C54F-420E-B71A-A7324500A1AA}" uniqueName="18" name="Sustainability SUS" queryTableFieldId="18" dataDxfId="329"/>
    <tableColumn id="19" xr3:uid="{9419E6B8-E411-48A8-ADFC-CB8DC67BB746}" uniqueName="19" name="Digital Literacy DL" queryTableFieldId="19" dataDxfId="328"/>
    <tableColumn id="20" xr3:uid="{4DE860EC-2FC2-4647-9A27-328743E910DC}" uniqueName="20" name="Career Development  CR" queryTableFieldId="20" dataDxfId="327"/>
    <tableColumn id="22" xr3:uid="{A9EF03D6-3204-4675-A296-80FCA67C296D}" uniqueName="22" name="Total" queryTableFieldId="22" dataDxfId="326"/>
    <tableColumn id="106" xr3:uid="{A82D5D48-C8F5-4D66-8851-EAB380FC3BEB}" uniqueName="106" name="Programme Type" queryTableFieldId="110" dataDxfId="325"/>
    <tableColumn id="23" xr3:uid="{3B54C390-21E3-4CF6-9049-7C9236207423}" uniqueName="23" name="Delivery Mode" queryTableFieldId="23" dataDxfId="324"/>
    <tableColumn id="24" xr3:uid="{D02C9C5C-A6E9-4284-8DBE-B7D1E41DB5E1}" uniqueName="24" name="Medium_x000a_of Instruction_x000a_(ENG)" queryTableFieldId="24" dataDxfId="323"/>
    <tableColumn id="77" xr3:uid="{AB6075AF-BB59-4238-933A-364B5D8DD6BC}" uniqueName="77" name="Medium_x000a_of Instruction_x000a_(Cantonese)" queryTableFieldId="78" dataDxfId="322"/>
    <tableColumn id="76" xr3:uid="{DFEE471F-FC34-4A25-8516-D9182D0CFC02}" uniqueName="76" name="Medium_x000a_of Instruction_x000a_(PTH)" queryTableFieldId="77" dataDxfId="321"/>
    <tableColumn id="26" xr3:uid="{5BF673D9-DF9E-49F5-8FCB-A6266C110C8F}" uniqueName="26" name="ILP Units Per Session" queryTableFieldId="26" dataDxfId="320"/>
    <tableColumn id="27" xr3:uid="{CDB6B9E0-F24D-405D-ACE4-6659C77D547D}" uniqueName="27" name="Quota" queryTableFieldId="27" dataDxfId="319"/>
    <tableColumn id="28" xr3:uid="{DBED6D76-DBA4-4113-A878-B2678BEF2EA4}" uniqueName="28" name="Total Units to be Offered" queryTableFieldId="28" dataDxfId="318"/>
    <tableColumn id="29" xr3:uid="{D027E802-D229-4559-9CE9-AD869E7E6CBE}" uniqueName="29" name="Lesson 1 _x000a_Date _x000a_(DD-MMM-YYYY)" queryTableFieldId="29" dataDxfId="317"/>
    <tableColumn id="105" xr3:uid="{9224A838-5BD0-4EFE-8CFA-6C370F42CE0C}" uniqueName="105" name="Lesson 1 (DOW)" queryTableFieldId="109" dataDxfId="316">
      <calculatedColumnFormula>WEEKDAY(Sheet_1_Table_1_133[[#This Row],[Lesson 1 
Date 
(DD-MMM-YYYY)]])</calculatedColumnFormula>
    </tableColumn>
    <tableColumn id="103" xr3:uid="{ACC8602C-24B7-4AB6-8496-2097A3FA6E34}" uniqueName="103" name="Lesson 1 _x000a_Start Time_x000a_(HH:MM)" queryTableFieldId="107" dataDxfId="315"/>
    <tableColumn id="56" xr3:uid="{ADFAC8DC-E2D3-4506-B5A0-CE87A3FFDC24}" uniqueName="56" name="Lesson 1_x000a_End Time_x000a_(HH:MM)" queryTableFieldId="163" dataDxfId="314"/>
    <tableColumn id="58" xr3:uid="{142B53C9-E994-4B24-92D4-B74FFB9E21A7}" uniqueName="58" name="Lesson 1 _x000a_Venue" queryTableFieldId="58" dataDxfId="313"/>
    <tableColumn id="113" xr3:uid="{5A6F4553-367D-4F8A-A603-A77AEE8458BF}" uniqueName="113" name="Lesson 2_x000a_Date _x000a_(DD-MMM-YYYY)" queryTableFieldId="120" dataDxfId="312"/>
    <tableColumn id="114" xr3:uid="{7E59628D-FD36-4DC1-8358-937FE865557B}" uniqueName="114" name="Lesson 2 (DOW)" queryTableFieldId="119" dataDxfId="311">
      <calculatedColumnFormula>WEEKDAY(Sheet_1_Table_1_133[[#This Row],[Lesson 2
Date 
(DD-MMM-YYYY)]]
)</calculatedColumnFormula>
    </tableColumn>
    <tableColumn id="115" xr3:uid="{51D6AE88-DF93-4484-8FBE-EA9B5BC176A0}" uniqueName="115" name="Lesson 2_x000a_Start Time_x000a_(HH:MM)" queryTableFieldId="118" dataDxfId="310"/>
    <tableColumn id="60" xr3:uid="{3299FF39-6F6A-465D-91F9-74733ACF42B8}" uniqueName="60" name="Lesson 2_x000a_End Time_x000a_(HH:MM)" queryTableFieldId="164" dataDxfId="309"/>
    <tableColumn id="116" xr3:uid="{478A9C49-24BA-46C0-BD27-D1B9B886750B}" uniqueName="116" name="Lesson 2_x000a_ Venue" queryTableFieldId="117" dataDxfId="308"/>
    <tableColumn id="104" xr3:uid="{998B92A3-DD9A-4A28-8C1F-EAA3C48CBD7E}" uniqueName="104" name="Lesson 3_x000a_Date _x000a_(DD-MMM-YYYY)" queryTableFieldId="108" dataDxfId="307"/>
    <tableColumn id="112" xr3:uid="{5E58333E-446F-4ACF-926F-061E7F56F6FD}" uniqueName="112" name="Lesson 3 (DOW)" queryTableFieldId="116" dataDxfId="306">
      <calculatedColumnFormula>WEEKDAY([5]!Sheet_1_Table_1_13[[#This Row],[Lesson 3
Date 
(DD-MMM-YYYY)]])</calculatedColumnFormula>
    </tableColumn>
    <tableColumn id="111" xr3:uid="{10B3C902-90E5-4DF8-A6B2-05C04D61B5D1}" uniqueName="111" name="Lesson 3_x000a_Start Time_x000a_(HH:MM)" queryTableFieldId="115" dataDxfId="305"/>
    <tableColumn id="62" xr3:uid="{F04E0CCC-67AE-4F69-9DD3-98D9244C750B}" uniqueName="62" name="Lesson 3_x000a_End Time_x000a_(HH:MM)" queryTableFieldId="165" dataDxfId="304"/>
    <tableColumn id="110" xr3:uid="{9859E846-065A-45AC-AC88-614EADAC9ABB}" uniqueName="110" name="Lesson 3_x000a_ Venue" queryTableFieldId="114" dataDxfId="303"/>
    <tableColumn id="109" xr3:uid="{EBAC52FF-DD2D-438B-8053-0BBA82A76B16}" uniqueName="109" name="Lesson 4_x000a_Date _x000a_(DD-MMM-YYYY)" queryTableFieldId="113" dataDxfId="302"/>
    <tableColumn id="108" xr3:uid="{6486D563-F6F2-40E3-AE58-E08F6C70329F}" uniqueName="108" name="Lesson 4 (DOW)" queryTableFieldId="112" dataDxfId="301">
      <calculatedColumnFormula>WEEKDAY([5]!Sheet_1_Table_1_13[[#This Row],[Lesson 4
Date 
(DD-MMM-YYYY)]])</calculatedColumnFormula>
    </tableColumn>
    <tableColumn id="117" xr3:uid="{A06F9E89-A6B2-4D68-9F42-EF9D99694ABC}" uniqueName="117" name="Lesson 4_x000a_Start Time_x000a_(HH:MM)" queryTableFieldId="121" dataDxfId="300"/>
    <tableColumn id="64" xr3:uid="{90E8D4D3-2F85-49B9-901D-967ACE649D60}" uniqueName="64" name="Lesson 4_x000a_End Time_x000a_(HH:MM)" queryTableFieldId="166" dataDxfId="299"/>
    <tableColumn id="107" xr3:uid="{8F47772E-5592-4333-A5D6-5B4B522E157F}" uniqueName="107" name="Lesson 4_x000a_ Venue" queryTableFieldId="111" dataDxfId="298"/>
    <tableColumn id="122" xr3:uid="{68CB7771-4EC1-4BC0-B516-65A71807DBCA}" uniqueName="122" name="Lesson 5_x000a_Date _x000a_(DD-MMM-YYYY)" queryTableFieldId="130" dataDxfId="297"/>
    <tableColumn id="123" xr3:uid="{6733963B-F04B-4DF7-919A-990CBEDD5459}" uniqueName="123" name="Lesson 5 (DOW)" queryTableFieldId="129" dataDxfId="296">
      <calculatedColumnFormula>WEEKDAY([5]!Sheet_1_Table_1_13[[#This Row],[Lesson 5
Date 
(DD-MMM-YYYY)]])</calculatedColumnFormula>
    </tableColumn>
    <tableColumn id="124" xr3:uid="{2B61F162-D793-46DF-9FD6-6E9CC1FE4400}" uniqueName="124" name="Lesson 5_x000a_Start Time_x000a_(HH:MM)" queryTableFieldId="128" dataDxfId="295"/>
    <tableColumn id="65" xr3:uid="{50E589FD-F267-44E5-B3EB-59997E7D88DC}" uniqueName="65" name="Lesson 5_x000a_End Time_x000a_(HH:MM)" queryTableFieldId="167" dataDxfId="294"/>
    <tableColumn id="125" xr3:uid="{412CD402-3413-4D5C-BFF0-21BF7B93C3DD}" uniqueName="125" name="Lesson 5_x000a_ Venue" queryTableFieldId="127" dataDxfId="293"/>
    <tableColumn id="118" xr3:uid="{0D7E8258-48CD-450A-9717-801021068BF0}" uniqueName="118" name="Lesson 6_x000a_Date _x000a_(DD-MMM-YYYY)" queryTableFieldId="126" dataDxfId="292"/>
    <tableColumn id="119" xr3:uid="{FBEF761E-0A02-4F72-81AC-2DE9D6E49891}" uniqueName="119" name="Lesson 6 (DOW)" queryTableFieldId="125" dataDxfId="291">
      <calculatedColumnFormula>WEEKDAY([5]!Sheet_1_Table_1_13[[#This Row],[Lesson 6
Date 
(DD-MMM-YYYY)]])</calculatedColumnFormula>
    </tableColumn>
    <tableColumn id="120" xr3:uid="{11622C98-B2F0-41B0-AFD7-E85A5C08EA4E}" uniqueName="120" name="Lesson 6_x000a_Start Time_x000a_(HH:MM)" queryTableFieldId="124" dataDxfId="290"/>
    <tableColumn id="43" xr3:uid="{B13CF8E9-02E8-4798-AACE-A9F6F6F4C733}" uniqueName="43" name="Lesson 6_x000a_End Time_x000a_(HH:MM)" queryTableFieldId="162" dataDxfId="289"/>
    <tableColumn id="121" xr3:uid="{A578EB00-9C8A-452A-B11D-2C432E6548C5}" uniqueName="121" name="Lesson 6_x000a_ Venue" queryTableFieldId="123" dataDxfId="288"/>
    <tableColumn id="21" xr3:uid="{041DE6C0-2D38-4E5E-B06A-C7A585F08D0A}" uniqueName="21" name="Instructor / Speaker (1)_x000a_Title" queryTableFieldId="132" dataDxfId="287"/>
    <tableColumn id="34" xr3:uid="{195E422F-F570-4051-B1BC-31F24FD94363}" uniqueName="34" name="Instructor / Speaker (1)_x000a_First Name" queryTableFieldId="34" dataDxfId="286"/>
    <tableColumn id="30" xr3:uid="{58256E45-9070-409C-9670-DF54BB461719}" uniqueName="30" name="Instructor / Speaker (1)_x000a_Last Name _x000a_(in CAPITAL letter)" queryTableFieldId="133" dataDxfId="285"/>
    <tableColumn id="35" xr3:uid="{086663E1-424C-4E24-BB17-4F01286D3E70}" uniqueName="35" name="Instructor / Speaker (1)_x000a_Job Title" queryTableFieldId="35" dataDxfId="284"/>
    <tableColumn id="37" xr3:uid="{C0B5D77F-A0EF-4D05-AF7A-E569DA11392B}" uniqueName="37" name="Instructor / Speaker (2)_x000a_Title" queryTableFieldId="137" dataDxfId="283"/>
    <tableColumn id="36" xr3:uid="{93149866-B48E-45EE-9F18-77568C9C8BB0}" uniqueName="36" name="Instructor / Speaker (2)_x000a_First Name" queryTableFieldId="136" dataDxfId="282"/>
    <tableColumn id="32" xr3:uid="{36810813-7A1A-4AAA-A0E6-3B18850C1595}" uniqueName="32" name="Instructor / Speaker (2)_x000a_Last Name _x000a_(in CAPITAL letter)" queryTableFieldId="135" dataDxfId="281"/>
    <tableColumn id="31" xr3:uid="{BF1D0370-2B83-4BC4-8F80-C7B1F73EB9FF}" uniqueName="31" name="Instructor / Speaker (2)_x000a_Job Title" queryTableFieldId="134" dataDxfId="280"/>
    <tableColumn id="40" xr3:uid="{CEA7FC35-529E-4293-8C6C-4E9B2C0BADD0}" uniqueName="40" name="Fees" queryTableFieldId="179" dataDxfId="279"/>
    <tableColumn id="78" xr3:uid="{A9CF10D2-E4E1-4FF4-9DAA-85A14D0BA5B3}" uniqueName="78" name="Deposits" queryTableFieldId="79" dataDxfId="278"/>
    <tableColumn id="38" xr3:uid="{04256680-D066-4623-B708-3EEF796C223C}" uniqueName="38" name="Assembly Time _x000a_(for Off-campus Visit)" queryTableFieldId="38" dataDxfId="277"/>
    <tableColumn id="69" xr3:uid="{5EB26A47-B6DA-49DB-AF56-D85D22D0779E}" uniqueName="69" name="Assembly Location_x000a_(for Off-campus Visit)" queryTableFieldId="172" dataDxfId="276"/>
    <tableColumn id="39" xr3:uid="{B3CAC080-199D-4BF1-B401-72F47C609304}" uniqueName="39" name="Remarks to Students (if applicable)" queryTableFieldId="39" dataDxfId="275"/>
    <tableColumn id="70" xr3:uid="{386C1BD5-BD97-4E78-9640-036EF853606C}" uniqueName="70" name="Zoom URL_x000a_(if any)" queryTableFieldId="183" dataDxfId="274"/>
    <tableColumn id="42" xr3:uid="{BA168F87-2937-4EB9-89F4-37CB69821283}" uniqueName="42" name="Meeting ID_x000a_(if any)" queryTableFieldId="181" dataDxfId="273"/>
    <tableColumn id="41" xr3:uid="{C291339B-5523-4FB1-9230-C214C3178DB9}" uniqueName="41" name="Meeting Passcode_x000a_(if any)" queryTableFieldId="180" dataDxfId="272"/>
    <tableColumn id="72" xr3:uid="{F634531F-2952-4948-936A-38189C99DC86}" uniqueName="72" name="Programme In-charge 1_x000a_Name" queryTableFieldId="184" dataDxfId="271"/>
    <tableColumn id="73" xr3:uid="{0A6082FE-FDAF-4FB1-B77D-FA82530D772C}" uniqueName="73" name="Programme In-charge 1_x000a_Email" queryTableFieldId="185" dataDxfId="270"/>
    <tableColumn id="45" xr3:uid="{24E5D6AB-B717-4727-9855-CF9B40C224E6}" uniqueName="45" name="Programme In-charge 2_x000a_Name" queryTableFieldId="45" dataDxfId="269"/>
    <tableColumn id="46" xr3:uid="{EDB936B2-82C4-4B83-AC9C-10F9AE06D228}" uniqueName="46" name="Programme In-charge 2_x000a_Email" queryTableFieldId="46" dataDxfId="268"/>
    <tableColumn id="49" xr3:uid="{4B187E53-60DD-47F9-B781-756ECFDB5520}" uniqueName="49" name="Sustainable Development Goals (Y/N)" queryTableFieldId="49" dataDxfId="267"/>
    <tableColumn id="50" xr3:uid="{23B122C6-C08B-4FB6-A378-59B85B93611D}" uniqueName="50" name="SDG1 _x000a_No Poverty" queryTableFieldId="50" dataDxfId="266"/>
    <tableColumn id="51" xr3:uid="{3E05CBAD-C32C-4E53-8261-0C847F8D0757}" uniqueName="51" name="SDG2_x000a_Zero Hunger" queryTableFieldId="51" dataDxfId="265"/>
    <tableColumn id="52" xr3:uid="{EE7FD5A1-6D6B-4E32-9498-64B40CA25B03}" uniqueName="52" name="SDG3_x000a_Good Health and well-being" queryTableFieldId="52" dataDxfId="264"/>
    <tableColumn id="53" xr3:uid="{ADF03271-935C-4A92-ACA3-F7933682E0E8}" uniqueName="53" name="SDG4_x000a_Quality Education" queryTableFieldId="53" dataDxfId="263"/>
    <tableColumn id="54" xr3:uid="{8A245432-77E1-46FF-BEE7-939EF0DB9DC3}" uniqueName="54" name="SDG5_x000a_ Gender Equality" queryTableFieldId="54" dataDxfId="262"/>
    <tableColumn id="101" xr3:uid="{389570D4-29A1-4DA0-8FBC-7D5DEBD6458D}" uniqueName="101" name="SDG6_x000a_ Clean Water &amp; Sanitation" queryTableFieldId="102" dataDxfId="261"/>
    <tableColumn id="100" xr3:uid="{61FC5E6C-A7B8-48B3-8BEC-D4A82B485439}" uniqueName="100" name="SDG7 Affordable &amp; Clean Energy" queryTableFieldId="101" dataDxfId="260"/>
    <tableColumn id="99" xr3:uid="{CBE3DBA5-4C68-4483-96BA-C8B78D08144F}" uniqueName="99" name="SDG8 _x000a_Decent Work &amp; Economic Growth" queryTableFieldId="100" dataDxfId="259"/>
    <tableColumn id="98" xr3:uid="{DF281FDB-F002-4262-8CA4-5A01B01F4989}" uniqueName="98" name="SDG9_x000a_Industry, Innovation &amp; Infrastructure" queryTableFieldId="99" dataDxfId="258"/>
    <tableColumn id="97" xr3:uid="{7E816ADD-BC82-44D3-AC7E-0E5766E3F585}" uniqueName="97" name="SDG10_x000a_ Reduced inequalities" queryTableFieldId="98" dataDxfId="257"/>
    <tableColumn id="96" xr3:uid="{9975E28D-AD54-40A4-8526-E9A50D142F71}" uniqueName="96" name="SDG11 Sustainable Cities &amp; Communities" queryTableFieldId="97" dataDxfId="256"/>
    <tableColumn id="95" xr3:uid="{5919869B-50D4-488B-B5EB-53B8F6F1C0B0}" uniqueName="95" name="SDG12 Responsible Consumption &amp; Production" queryTableFieldId="96" dataDxfId="255"/>
    <tableColumn id="94" xr3:uid="{8048E690-2C36-4482-B5BC-1092F20DEE34}" uniqueName="94" name="SDG13_x000a_ Climate Action" queryTableFieldId="95" dataDxfId="254"/>
    <tableColumn id="93" xr3:uid="{5763CFEA-D48D-4C7C-9D89-84BCB697DA66}" uniqueName="93" name="SDG14_x000a_Life Below Water" queryTableFieldId="94" dataDxfId="253"/>
    <tableColumn id="92" xr3:uid="{143D27F3-BAEE-446E-B740-120AC54BC818}" uniqueName="92" name="SDG15 _x000a_Life on Land" queryTableFieldId="93" dataDxfId="252"/>
    <tableColumn id="91" xr3:uid="{E67A19F6-EEBA-4BFA-B233-9AFA84E30800}" uniqueName="91" name="SDG16 Peace, Justice &amp; Strong Institutions" queryTableFieldId="92" dataDxfId="251"/>
    <tableColumn id="90" xr3:uid="{383CD302-E932-4648-BFD7-1F08647C882B}" uniqueName="90" name="SDG17 Partnerships for the Goals" queryTableFieldId="91" dataDxfId="250"/>
    <tableColumn id="63" xr3:uid="{7D933F42-CD05-4418-929E-50CE17080821}" uniqueName="63" name="Country/Place" queryTableFieldId="64" dataDxfId="249"/>
    <tableColumn id="83" xr3:uid="{40C84A59-2955-41B0-881A-FD63377FB53D}" uniqueName="83" name="Credit Type" queryTableFieldId="84" dataDxfId="248"/>
    <tableColumn id="84" xr3:uid="{C57F757F-B2E8-4B29-9E1F-E97D6A8A056B}" uniqueName="84" name="Data Type" queryTableFieldId="85" dataDxfId="247"/>
    <tableColumn id="61" xr3:uid="{B134F0F1-2558-40EF-990A-22D66651302D}" uniqueName="61" name="UAA" queryTableFieldId="62" dataDxfId="246"/>
    <tableColumn id="86" xr3:uid="{D347F60A-1B9E-4C7E-A305-96EBC0F60A9D}" uniqueName="86" name="Programme Category" queryTableFieldId="87" dataDxfId="245"/>
    <tableColumn id="87" xr3:uid="{67F163CE-5578-4326-855B-A8D13D51AAE7}" uniqueName="87" name="Whole Person Development Cocurriculum" queryTableFieldId="88" dataDxfId="244"/>
    <tableColumn id="88" xr3:uid="{78F718C7-D9B0-4F0C-B6D4-5EBDA29032D5}" uniqueName="88" name="Moral Education" queryTableFieldId="89" dataDxfId="243"/>
    <tableColumn id="89" xr3:uid="{65623F4B-7653-431D-A0A6-7A28571200C8}" uniqueName="89" name="Social Responsible Citizenship" queryTableFieldId="90" dataDxfId="242"/>
    <tableColumn id="47" xr3:uid="{D2ECE4B5-10F9-48C2-A98A-FC5CD3C0EDEB}" uniqueName="47" name="Lingnan Language Enhancement Initiative (L2EI)_x000a_(Y/N)" queryTableFieldId="186" dataDxfId="241"/>
    <tableColumn id="25" xr3:uid="{5159C862-6E1E-488A-A3A1-DB5B90B9CAD5}" uniqueName="25" name="Leadership Enhancement Programme (LEP)_x000a_(Y/N)" queryTableFieldId="25" dataDxfId="240"/>
    <tableColumn id="66" xr3:uid="{236F65D3-1803-4214-A794-40EFCF7B3E28}" uniqueName="66" name="TALENT - The Lingnan iPortfolio" queryTableFieldId="169" dataDxfId="239"/>
    <tableColumn id="67" xr3:uid="{09551F30-EC48-481D-B382-4CA91BAFE463}" uniqueName="67" name="Has Registration" queryTableFieldId="170" dataDxfId="238"/>
    <tableColumn id="68" xr3:uid="{FDA6A5C8-4828-4462-9FAF-B33C2E4B5989}" uniqueName="68" name="OSA Portal Registration" queryTableFieldId="171" dataDxfId="237"/>
    <tableColumn id="48" xr3:uid="{D3B66CAB-35CE-43A4-8E5A-714B0AD1165E}" uniqueName="48" name="Status" queryTableFieldId="187" dataDxfId="236"/>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EAF706E-9189-4B76-8A29-6FD844908378}" name="Sheet_1_Table_1_136" displayName="Sheet_1_Table_1_136" ref="B2:DN74" tableType="queryTable" totalsRowShown="0" headerRowDxfId="235" dataDxfId="233" headerRowBorderDxfId="234" tableBorderDxfId="232" totalsRowBorderDxfId="231">
  <autoFilter ref="B2:DN74" xr:uid="{A40E3A6D-1066-4C6D-8DC4-5DAEE3358E36}"/>
  <tableColumns count="117">
    <tableColumn id="1" xr3:uid="{60556F57-B2D3-4D38-B80F-EF2844135951}" uniqueName="1" name="Term" queryTableFieldId="1" dataDxfId="230"/>
    <tableColumn id="2" xr3:uid="{3DF70852-0FA4-4719-85FA-40D142F0437B}" uniqueName="2" name="Course Code" queryTableFieldId="2" dataDxfId="229"/>
    <tableColumn id="3" xr3:uid="{DE9A5E27-0AD0-4C47-888A-8DB48368DC0B}" uniqueName="3" name="Part of Terms" queryTableFieldId="3" dataDxfId="228"/>
    <tableColumn id="4" xr3:uid="{53DCC184-111A-4A4C-A381-3B1D3F71B8DB}" uniqueName="4" name="CRN" queryTableFieldId="4" dataDxfId="227"/>
    <tableColumn id="59" xr3:uid="{C13D6ED3-2343-46DD-A084-AA1333ACD9E3}" uniqueName="59" name="Department / Unit" queryTableFieldId="59" dataDxfId="226"/>
    <tableColumn id="33" xr3:uid="{737CC7AA-E4DA-4ED6-AD3E-19B6BD6EFDEC}" uniqueName="33" name="Team" queryTableFieldId="176" dataDxfId="225"/>
    <tableColumn id="5" xr3:uid="{3E9C06D7-919A-4A84-9AAD-695DB0888492}" uniqueName="5" name="Series Name (Chi)" queryTableFieldId="5" dataDxfId="224"/>
    <tableColumn id="6" xr3:uid="{E3F114BA-14DB-4E45-90C4-99B6BBD46994}" uniqueName="6" name="Series Name (Eng)" queryTableFieldId="6" dataDxfId="223"/>
    <tableColumn id="7" xr3:uid="{8970214E-9C76-4544-9A9D-BD37FBB582FA}" uniqueName="7" name="Activity Title (Chi)" queryTableFieldId="7" dataDxfId="222"/>
    <tableColumn id="8" xr3:uid="{BEA2F4F4-6951-46E9-9DC2-41BC7D00EB74}" uniqueName="8" name="Activity Title (Eng)" queryTableFieldId="8" dataDxfId="221"/>
    <tableColumn id="57" xr3:uid="{81704F3B-A126-47FF-8608-5436A30D855A}" uniqueName="57" name="Session Title" queryTableFieldId="57" dataDxfId="220"/>
    <tableColumn id="9" xr3:uid="{3F7F9F16-0D50-48C8-ACA4-E3AD2F7B0B33}" uniqueName="9" name="Objectives / Expected Learning Outcomes (Eng)" queryTableFieldId="9" dataDxfId="219"/>
    <tableColumn id="10" xr3:uid="{F3537F55-253F-4EAB-99E1-04B5A1916870}" uniqueName="10" name="Description (Eng)" queryTableFieldId="10" dataDxfId="218"/>
    <tableColumn id="55" xr3:uid="{2D1CEE84-F32D-4B7F-98BC-04105819BF1F}" uniqueName="55" name="Include in Online Registration? _x000a_(Y/N)" queryTableFieldId="55" dataDxfId="217"/>
    <tableColumn id="44" xr3:uid="{2117A00E-E171-4199-A5CC-74DCD85DA0F9}" uniqueName="44" name="Send Auto-reminder? _x000a_(Y/N)" queryTableFieldId="178" dataDxfId="216"/>
    <tableColumn id="75" xr3:uid="{3490869D-2017-49AA-BC24-CCCF9F4D1DBB}" uniqueName="75" name="Learning Domain" queryTableFieldId="76" dataDxfId="215"/>
    <tableColumn id="11" xr3:uid="{465E1DF1-AE33-4C38-B762-E62052AA5C87}" uniqueName="11" name="Learning Domain (Short)" queryTableFieldId="11" dataDxfId="214"/>
    <tableColumn id="12" xr3:uid="{BB9EC229-7675-4093-AA48-4008A6BD118A}" uniqueName="12" name="Leadership LS" queryTableFieldId="12" dataDxfId="213"/>
    <tableColumn id="13" xr3:uid="{5A49FEC0-6B11-4774-9DCC-05B3345DB743}" uniqueName="13" name="Entrepreneurship ENT" queryTableFieldId="13" dataDxfId="212"/>
    <tableColumn id="14" xr3:uid="{D88739E0-BEE4-46CC-AB7C-227A7987F6A8}" uniqueName="14" name="Well-being (Physical) WBP" queryTableFieldId="14" dataDxfId="211"/>
    <tableColumn id="15" xr3:uid="{7241E24E-E7DF-4250-BDFE-8DF02C149C1F}" uniqueName="15" name="Well-being (Mental) WBM" queryTableFieldId="15" dataDxfId="210"/>
    <tableColumn id="16" xr3:uid="{BFCFAA18-5107-4799-AF32-1D65AD03F1EC}" uniqueName="16" name="Language Enhancement LE" queryTableFieldId="16" dataDxfId="209"/>
    <tableColumn id="17" xr3:uid="{2B384ACE-EDA2-413B-A3A0-720767A99E1F}" uniqueName="17" name="Cross-Cultural Appreciation_x000a_&amp; Integration CCAI" queryTableFieldId="17" dataDxfId="208"/>
    <tableColumn id="18" xr3:uid="{E3DCC4EC-4E35-4EC9-A658-4BBD7EB5EDC3}" uniqueName="18" name="Sustainability SUS" queryTableFieldId="18" dataDxfId="207"/>
    <tableColumn id="19" xr3:uid="{F693B56E-35C8-41D4-AE3E-B9C637B89557}" uniqueName="19" name="Digital Literacy DL" queryTableFieldId="19" dataDxfId="206"/>
    <tableColumn id="20" xr3:uid="{65D69389-6591-48AD-869B-A1405FC5D439}" uniqueName="20" name="Career Development  CR" queryTableFieldId="20" dataDxfId="205"/>
    <tableColumn id="22" xr3:uid="{0A18CFA6-7DA3-49A7-A5DA-B342F2991D14}" uniqueName="22" name="Total" queryTableFieldId="22" dataDxfId="204"/>
    <tableColumn id="106" xr3:uid="{FE1203CC-752A-4C9B-A094-5925550444F9}" uniqueName="106" name="Programme Type" queryTableFieldId="110" dataDxfId="203"/>
    <tableColumn id="23" xr3:uid="{E20F8AAB-C4D2-4A93-BAF9-99766BA48671}" uniqueName="23" name="Delivery Mode" queryTableFieldId="23" dataDxfId="202"/>
    <tableColumn id="24" xr3:uid="{F65889EC-CE39-4908-BE2D-FC48C8285BCC}" uniqueName="24" name="Medium_x000a_of Instruction_x000a_(ENG)" queryTableFieldId="24" dataDxfId="201"/>
    <tableColumn id="77" xr3:uid="{89DF5041-74FB-4B0D-A95F-43EF947DB51B}" uniqueName="77" name="Medium_x000a_of Instruction_x000a_(Cantonese)" queryTableFieldId="78" dataDxfId="200"/>
    <tableColumn id="76" xr3:uid="{262C86AF-DA97-4020-8AB1-0A3C6C1B74D3}" uniqueName="76" name="Medium_x000a_of Instruction_x000a_(PTH)" queryTableFieldId="77" dataDxfId="199"/>
    <tableColumn id="26" xr3:uid="{D97C5760-04E9-4886-91A5-46FE7826196E}" uniqueName="26" name="ILP Units Per Session" queryTableFieldId="26" dataDxfId="198"/>
    <tableColumn id="27" xr3:uid="{803FBEAB-B411-43CB-96EB-C24453380768}" uniqueName="27" name="Quota" queryTableFieldId="27" dataDxfId="197"/>
    <tableColumn id="28" xr3:uid="{F5980D7D-6484-40B3-ADCA-766462C4FAD1}" uniqueName="28" name="Total Units to be Offered" queryTableFieldId="28" dataDxfId="196"/>
    <tableColumn id="29" xr3:uid="{4BF3FCAA-9DB6-488A-BBDA-5E66180E478B}" uniqueName="29" name="Lesson 1 _x000a_Date _x000a_(DD-MMM-YYYY)" queryTableFieldId="29" dataDxfId="195"/>
    <tableColumn id="105" xr3:uid="{D154DB30-D54E-4BDC-A087-0C4C8BE36393}" uniqueName="105" name="Lesson 1 (DOW)" queryTableFieldId="109" dataDxfId="194">
      <calculatedColumnFormula>WEEKDAY(Sheet_1_Table_1_136[[#This Row],[Lesson 1 
Date 
(DD-MMM-YYYY)]])</calculatedColumnFormula>
    </tableColumn>
    <tableColumn id="103" xr3:uid="{0C0E2EF4-35D6-496D-A301-26165CC0376B}" uniqueName="103" name="Lesson 1 _x000a_Start Time_x000a_(HH:MM)" queryTableFieldId="107" dataDxfId="193"/>
    <tableColumn id="56" xr3:uid="{B4D88854-73DD-4DC1-8CC7-0264E8173A70}" uniqueName="56" name="Lesson 1_x000a_End Time_x000a_(HH:MM)" queryTableFieldId="163" dataDxfId="192"/>
    <tableColumn id="58" xr3:uid="{7865A361-0968-457E-BD90-804A03CA26AE}" uniqueName="58" name="Lesson 1 _x000a_Venue" queryTableFieldId="58" dataDxfId="191"/>
    <tableColumn id="113" xr3:uid="{C6A92FC8-01A7-4508-BAD9-1E06544F687C}" uniqueName="113" name="Lesson 2_x000a_Date _x000a_(DD-MMM-YYYY)" queryTableFieldId="120" dataDxfId="190"/>
    <tableColumn id="114" xr3:uid="{52BB3589-EF1F-4976-B490-E15FB7A5E1D9}" uniqueName="114" name="Lesson 2 (DOW)" queryTableFieldId="119" dataDxfId="189">
      <calculatedColumnFormula>WEEKDAY(Sheet_1_Table_1_136[[#This Row],[Lesson 2
Date 
(DD-MMM-YYYY)]])</calculatedColumnFormula>
    </tableColumn>
    <tableColumn id="115" xr3:uid="{B2A86CD2-88B7-4CF5-88AC-E56C601282EF}" uniqueName="115" name="Lesson 2_x000a_Start Time_x000a_(HH:MM)" queryTableFieldId="118" dataDxfId="188"/>
    <tableColumn id="60" xr3:uid="{DEB20373-0DAE-4788-987A-2639B966FA8B}" uniqueName="60" name="Lesson 2_x000a_End Time_x000a_(HH:MM)" queryTableFieldId="164" dataDxfId="187"/>
    <tableColumn id="116" xr3:uid="{3CB168E5-2497-4271-BFFE-E796EEB1456A}" uniqueName="116" name="Lesson 2_x000a_ Venue" queryTableFieldId="117" dataDxfId="186"/>
    <tableColumn id="104" xr3:uid="{02F0DB5D-0A8B-42EF-B074-18241B8302BD}" uniqueName="104" name="Lesson 3_x000a_Date _x000a_(DD-MMM-YYYY)" queryTableFieldId="108" dataDxfId="185"/>
    <tableColumn id="112" xr3:uid="{D458A74E-751E-42F4-B156-AD0872BDF2BF}" uniqueName="112" name="Lesson 3 (DOW)" queryTableFieldId="116" dataDxfId="184">
      <calculatedColumnFormula>WEEKDAY(Sheet_1_Table_1_136[[#This Row],[Lesson 3
Date 
(DD-MMM-YYYY)]])</calculatedColumnFormula>
    </tableColumn>
    <tableColumn id="111" xr3:uid="{C3375B10-A3A5-425E-81D4-92DCCC8AA77D}" uniqueName="111" name="Lesson 3_x000a_Start Time_x000a_(HH:MM)" queryTableFieldId="115" dataDxfId="183"/>
    <tableColumn id="62" xr3:uid="{FD4D10C6-0960-4359-AE6B-D76B11D0912B}" uniqueName="62" name="Lesson 3_x000a_End Time_x000a_(HH:MM)" queryTableFieldId="165" dataDxfId="182"/>
    <tableColumn id="110" xr3:uid="{75EC5A1F-C7BD-4AC9-9F3E-9E27383C220E}" uniqueName="110" name="Lesson 3_x000a_ Venue" queryTableFieldId="114" dataDxfId="181"/>
    <tableColumn id="109" xr3:uid="{085B5DC1-7667-49A5-84E8-0E7AA4DB5C1E}" uniqueName="109" name="Lesson 4_x000a_Date _x000a_(DD-MMM-YYYY)" queryTableFieldId="113" dataDxfId="180"/>
    <tableColumn id="108" xr3:uid="{88500714-560B-48B5-BC56-4EFC7151AA47}" uniqueName="108" name="Lesson 4 (DOW)" queryTableFieldId="112" dataDxfId="179">
      <calculatedColumnFormula>WEEKDAY(Sheet_1_Table_1_136[[#This Row],[Lesson 4
Date 
(DD-MMM-YYYY)]])</calculatedColumnFormula>
    </tableColumn>
    <tableColumn id="117" xr3:uid="{3DE26E74-DD8A-4653-ABB1-C3257F0FEE3E}" uniqueName="117" name="Lesson 4_x000a_Start Time_x000a_(HH:MM)" queryTableFieldId="121" dataDxfId="178"/>
    <tableColumn id="64" xr3:uid="{3E8277AA-D097-44F1-BE14-0D8E2E04516E}" uniqueName="64" name="Lesson 4_x000a_End Time_x000a_(HH:MM)" queryTableFieldId="166" dataDxfId="177"/>
    <tableColumn id="107" xr3:uid="{3A2D6F68-5FE0-48A8-9D3B-6CC31320D01B}" uniqueName="107" name="Lesson 4_x000a_ Venue" queryTableFieldId="111" dataDxfId="176"/>
    <tableColumn id="122" xr3:uid="{C4EA56A9-245C-45B9-AFCC-ED0DE7CD0593}" uniqueName="122" name="Lesson 5_x000a_Date _x000a_(DD-MMM-YYYY)" queryTableFieldId="130" dataDxfId="175"/>
    <tableColumn id="123" xr3:uid="{9423B510-923E-411D-B99E-08A3B1A989E9}" uniqueName="123" name="Lesson 5 (DOW)" queryTableFieldId="129" dataDxfId="174">
      <calculatedColumnFormula>WEEKDAY(Sheet_1_Table_1_136[[#This Row],[Lesson 5
Date 
(DD-MMM-YYYY)]])</calculatedColumnFormula>
    </tableColumn>
    <tableColumn id="124" xr3:uid="{B6C421B5-41B3-43B2-87FE-6E7CC0E726A2}" uniqueName="124" name="Lesson 5_x000a_Start Time_x000a_(HH:MM)" queryTableFieldId="128" dataDxfId="173"/>
    <tableColumn id="65" xr3:uid="{9D80C083-6A5F-46E6-9EF8-21F9FF7FAA3D}" uniqueName="65" name="Lesson 5_x000a_End Time_x000a_(HH:MM)" queryTableFieldId="167" dataDxfId="172"/>
    <tableColumn id="125" xr3:uid="{483D46C8-0854-4731-A435-CDB8076CB068}" uniqueName="125" name="Lesson 5_x000a_ Venue" queryTableFieldId="127" dataDxfId="171"/>
    <tableColumn id="118" xr3:uid="{C45E0169-CE55-4654-90EB-F0E9ED5E90AA}" uniqueName="118" name="Lesson 6_x000a_Date _x000a_(DD-MMM-YYYY)" queryTableFieldId="126" dataDxfId="170"/>
    <tableColumn id="119" xr3:uid="{0413A395-83B4-4471-BB93-9B635B4BDF96}" uniqueName="119" name="Lesson 6 (DOW)" queryTableFieldId="125" dataDxfId="169">
      <calculatedColumnFormula>WEEKDAY(Sheet_1_Table_1_136[[#This Row],[Lesson 6
Date 
(DD-MMM-YYYY)]])</calculatedColumnFormula>
    </tableColumn>
    <tableColumn id="120" xr3:uid="{F2C18B3F-ABF3-4DFE-B078-49D363DB38EC}" uniqueName="120" name="Lesson 6_x000a_Start Time_x000a_(HH:MM)" queryTableFieldId="124" dataDxfId="168"/>
    <tableColumn id="43" xr3:uid="{3DDC4399-65AC-4745-AC6B-85AAD7CF5188}" uniqueName="43" name="Lesson 6_x000a_End Time_x000a_(HH:MM)" queryTableFieldId="162" dataDxfId="167"/>
    <tableColumn id="121" xr3:uid="{604CCB4E-605A-4ED4-99CE-4CC4239D3D39}" uniqueName="121" name="Lesson 6_x000a_ Venue" queryTableFieldId="123" dataDxfId="166"/>
    <tableColumn id="21" xr3:uid="{5B504E40-F7E7-4273-AB53-23D139EE5A5A}" uniqueName="21" name="Instructor / Speaker (1)_x000a_Title" queryTableFieldId="132" dataDxfId="165"/>
    <tableColumn id="34" xr3:uid="{A8889876-0B0D-479B-B4E1-0AECA8F677E5}" uniqueName="34" name="Instructor / Speaker (1)_x000a_First Name" queryTableFieldId="34" dataDxfId="164"/>
    <tableColumn id="30" xr3:uid="{367D6381-1C59-488F-A518-BD5AADE9826A}" uniqueName="30" name="Instructor / Speaker (1)_x000a_Last Name _x000a_(in CAPITAL letter)" queryTableFieldId="133" dataDxfId="163"/>
    <tableColumn id="35" xr3:uid="{13CB9E50-C866-424C-88A2-48ECCE8E6816}" uniqueName="35" name="Instructor / Speaker (1)_x000a_Job Title" queryTableFieldId="35" dataDxfId="162"/>
    <tableColumn id="37" xr3:uid="{C7DAF68F-695D-4D0D-8578-2BFDE759AB75}" uniqueName="37" name="Instructor / Speaker (2)_x000a_Title" queryTableFieldId="137" dataDxfId="161"/>
    <tableColumn id="36" xr3:uid="{7E50ED0C-2F1C-475C-93FE-175C2999D2F3}" uniqueName="36" name="Instructor / Speaker (2)_x000a_First Name" queryTableFieldId="136" dataDxfId="160"/>
    <tableColumn id="32" xr3:uid="{1344DD82-E263-4BB5-AC81-F2218BF0354B}" uniqueName="32" name="Instructor / Speaker (2)_x000a_Last Name _x000a_(in CAPITAL letter)" queryTableFieldId="135" dataDxfId="159"/>
    <tableColumn id="31" xr3:uid="{A7D398C0-06C8-4C99-BA02-765A68A0A4E3}" uniqueName="31" name="Instructor / Speaker (2)_x000a_Job Title" queryTableFieldId="134" dataDxfId="158"/>
    <tableColumn id="40" xr3:uid="{75DAC726-2401-42AC-A216-191B28812DF0}" uniqueName="40" name="Fees" queryTableFieldId="179" dataDxfId="157"/>
    <tableColumn id="78" xr3:uid="{A566ECDF-E561-4EFF-8CAF-0AA1FA990020}" uniqueName="78" name="Deposits" queryTableFieldId="79" dataDxfId="156"/>
    <tableColumn id="38" xr3:uid="{C3767A05-6A5C-4C41-97B9-BF4A560F75DE}" uniqueName="38" name="Assembly Time _x000a_(for Off-campus Visit)" queryTableFieldId="38" dataDxfId="155"/>
    <tableColumn id="69" xr3:uid="{72C9B7EE-9C2C-4F24-B8BF-71A5FFB79719}" uniqueName="69" name="Assembly Location_x000a_(for Off-campus Visit)" queryTableFieldId="172" dataDxfId="154"/>
    <tableColumn id="39" xr3:uid="{F1709082-0C71-4E5B-BE0B-8DC3122C89C9}" uniqueName="39" name="Remarks to Students (if applicable)" queryTableFieldId="39" dataDxfId="153"/>
    <tableColumn id="70" xr3:uid="{39B672C1-9811-4709-9757-21CD2EDEEF81}" uniqueName="70" name="Zoom URL_x000a_(if any)" queryTableFieldId="183" dataDxfId="152"/>
    <tableColumn id="42" xr3:uid="{4BFD7089-ADF1-4916-B119-13F5F6CF11F6}" uniqueName="42" name="Meeting ID_x000a_(if any)" queryTableFieldId="181" dataDxfId="151"/>
    <tableColumn id="41" xr3:uid="{40C9F2AA-D31F-44B6-911F-8B24D645E430}" uniqueName="41" name="Meeting Passcode_x000a_(if any)" queryTableFieldId="180" dataDxfId="150"/>
    <tableColumn id="72" xr3:uid="{79EA0CB5-ADA6-4F7B-A58E-E75B15AC9D3E}" uniqueName="72" name="Programme In-charge 1_x000a_Name" queryTableFieldId="184" dataDxfId="149"/>
    <tableColumn id="73" xr3:uid="{87974988-5AB5-48B1-9DCF-B9BB102E0452}" uniqueName="73" name="Programme In-charge 1_x000a_Email" queryTableFieldId="185" dataDxfId="148"/>
    <tableColumn id="45" xr3:uid="{71A95AF1-8FD7-4D13-98EF-3C3FD70A9DD9}" uniqueName="45" name="Programme In-charge 2_x000a_Name" queryTableFieldId="45" dataDxfId="147"/>
    <tableColumn id="46" xr3:uid="{F8A337B7-5B16-4350-8A6F-91549875742C}" uniqueName="46" name="Programme In-charge 2_x000a_Email" queryTableFieldId="46" dataDxfId="146"/>
    <tableColumn id="49" xr3:uid="{4DC94CDF-0F15-415F-A3F7-0D2A10A1A3CF}" uniqueName="49" name="Sustainable Development Goals (Y/N)" queryTableFieldId="49" dataDxfId="145"/>
    <tableColumn id="50" xr3:uid="{32848406-1BC9-44CD-93AB-436321014835}" uniqueName="50" name="SDG1 _x000a_No Poverty" queryTableFieldId="50" dataDxfId="144"/>
    <tableColumn id="51" xr3:uid="{674632E8-D117-4D33-AE47-1B469453AF0C}" uniqueName="51" name="SDG2_x000a_Zero Hunger" queryTableFieldId="51" dataDxfId="143"/>
    <tableColumn id="52" xr3:uid="{0759E7C9-A82B-4C99-A3B3-E4087CDD276D}" uniqueName="52" name="SDG3_x000a_Good Health and well-being" queryTableFieldId="52" dataDxfId="142"/>
    <tableColumn id="53" xr3:uid="{0B78E091-4E18-4CBD-8356-61733E746DD5}" uniqueName="53" name="SDG4_x000a_Quality Education" queryTableFieldId="53" dataDxfId="141"/>
    <tableColumn id="54" xr3:uid="{71F03C59-E3E1-4988-8E58-FB91CA8C32A8}" uniqueName="54" name="SDG5_x000a_ Gender Equality" queryTableFieldId="54" dataDxfId="140"/>
    <tableColumn id="101" xr3:uid="{ED74EB20-2E1C-4C29-971E-BD499CC50EB9}" uniqueName="101" name="SDG6_x000a_ Clean Water &amp; Sanitation" queryTableFieldId="102" dataDxfId="139"/>
    <tableColumn id="100" xr3:uid="{C8029D16-6101-4BB6-BDE8-AC2B748FFBA7}" uniqueName="100" name="SDG7 Affordable &amp; Clean Energy" queryTableFieldId="101" dataDxfId="138"/>
    <tableColumn id="99" xr3:uid="{B7EE5459-CC11-4FF9-B074-E06C92B6E755}" uniqueName="99" name="SDG8 _x000a_Decent Work &amp; Economic Growth" queryTableFieldId="100" dataDxfId="137"/>
    <tableColumn id="98" xr3:uid="{931161A9-638D-4321-9FB3-A644EDEF592D}" uniqueName="98" name="SDG9_x000a_Industry, Innovation &amp; Infrastructure" queryTableFieldId="99" dataDxfId="136"/>
    <tableColumn id="97" xr3:uid="{4CEACA0A-3371-46AF-A78C-11A4BB20B910}" uniqueName="97" name="SDG10_x000a_ Reduced inequalities" queryTableFieldId="98" dataDxfId="135"/>
    <tableColumn id="96" xr3:uid="{FA13F1AE-98C7-4FC5-AFDA-2A08F33E1CF2}" uniqueName="96" name="SDG11 Sustainable Cities &amp; Communities" queryTableFieldId="97" dataDxfId="134"/>
    <tableColumn id="95" xr3:uid="{FEA2172F-6386-462D-8BCD-15C8118C37F6}" uniqueName="95" name="SDG12 Responsible Consumption &amp; Production" queryTableFieldId="96" dataDxfId="133"/>
    <tableColumn id="94" xr3:uid="{C3523241-384D-4920-9653-C359D8BE744C}" uniqueName="94" name="SDG13_x000a_ Climate Action" queryTableFieldId="95" dataDxfId="132"/>
    <tableColumn id="93" xr3:uid="{6D2E0BCD-A80B-45C5-82AF-DEFA4D5CD1F8}" uniqueName="93" name="SDG14_x000a_Life Below Water" queryTableFieldId="94" dataDxfId="131"/>
    <tableColumn id="92" xr3:uid="{8EB03BB3-9360-45A9-9DD1-C866AF468117}" uniqueName="92" name="SDG15 _x000a_Life on Land" queryTableFieldId="93" dataDxfId="130"/>
    <tableColumn id="91" xr3:uid="{E8ED1266-CDE0-4842-A638-8B82D6560E28}" uniqueName="91" name="SDG16 Peace, Justice &amp; Strong Institutions" queryTableFieldId="92" dataDxfId="129"/>
    <tableColumn id="90" xr3:uid="{EEF44288-EAF4-4083-A691-32F347780156}" uniqueName="90" name="SDG17 Partnerships for the Goals" queryTableFieldId="91" dataDxfId="128"/>
    <tableColumn id="63" xr3:uid="{D21EC705-59BA-428A-BDD9-DF4D0BC8CB43}" uniqueName="63" name="Country/Place" queryTableFieldId="64" dataDxfId="127"/>
    <tableColumn id="83" xr3:uid="{3176848F-764B-4664-B693-3489D50F8447}" uniqueName="83" name="Credit Type" queryTableFieldId="84" dataDxfId="126"/>
    <tableColumn id="84" xr3:uid="{D624E190-D3EF-4964-A28C-F9C18EAFE048}" uniqueName="84" name="Data Type" queryTableFieldId="85" dataDxfId="125"/>
    <tableColumn id="61" xr3:uid="{839F2A37-CA98-47EB-9C75-0F2C1B3DA404}" uniqueName="61" name="UAA" queryTableFieldId="62" dataDxfId="124"/>
    <tableColumn id="86" xr3:uid="{15DBF9D7-6964-412E-8DA2-3F76A746C32E}" uniqueName="86" name="Programme Category" queryTableFieldId="87" dataDxfId="123"/>
    <tableColumn id="87" xr3:uid="{40086B04-985B-4840-A8D4-E7C94C492AE7}" uniqueName="87" name="Whole Person Development Cocurriculum" queryTableFieldId="88" dataDxfId="122"/>
    <tableColumn id="88" xr3:uid="{F824D086-B1F9-4AC5-B14B-38603044AA1D}" uniqueName="88" name="Moral Education" queryTableFieldId="89" dataDxfId="121"/>
    <tableColumn id="89" xr3:uid="{FA764EAF-7FCD-44F5-A4AB-FA899DC0800E}" uniqueName="89" name="Social Responsible Citizenship" queryTableFieldId="90" dataDxfId="120"/>
    <tableColumn id="47" xr3:uid="{6925287D-F761-4AFD-A7C7-983127B5C780}" uniqueName="47" name="Lingnan Language Enhancement Initiative (L2EI)_x000a_(Y/N)" queryTableFieldId="186" dataDxfId="119"/>
    <tableColumn id="25" xr3:uid="{CE16AA73-8B9E-4B55-AA91-702C6CAC6F75}" uniqueName="25" name="Leadership Enhancement Programme (LEP)_x000a_(Y/N)" queryTableFieldId="25" dataDxfId="118"/>
    <tableColumn id="66" xr3:uid="{6B614DE7-8369-44A7-9B03-7F8C7F7C27A6}" uniqueName="66" name="TALENT - The Lingnan iPortfolio" queryTableFieldId="169" dataDxfId="117"/>
    <tableColumn id="67" xr3:uid="{EA29DDC9-1CF5-41DD-B8AA-EAA70FEB35B3}" uniqueName="67" name="Has Registration" queryTableFieldId="170" dataDxfId="116"/>
    <tableColumn id="68" xr3:uid="{C1507F28-92FE-4CD9-A9C8-B67A4139829F}" uniqueName="68" name="OSA Portal Registration" queryTableFieldId="171" dataDxfId="115"/>
    <tableColumn id="48" xr3:uid="{506B4239-464A-4AE9-9952-844C66913B7D}" uniqueName="48" name="Status" queryTableFieldId="187" dataDxfId="114"/>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carrieli@ln.edu.hk" TargetMode="External"/><Relationship Id="rId18" Type="http://schemas.openxmlformats.org/officeDocument/2006/relationships/hyperlink" Target="mailto:carrieli@ln.edu.hk" TargetMode="External"/><Relationship Id="rId26" Type="http://schemas.openxmlformats.org/officeDocument/2006/relationships/hyperlink" Target="mailto:carrieli@ln.edu.hk" TargetMode="External"/><Relationship Id="rId21" Type="http://schemas.openxmlformats.org/officeDocument/2006/relationships/hyperlink" Target="mailto:carrieli@ln.edu.hk" TargetMode="External"/><Relationship Id="rId34" Type="http://schemas.openxmlformats.org/officeDocument/2006/relationships/hyperlink" Target="mailto:teresasiu@ln.edu.hk" TargetMode="External"/><Relationship Id="rId7" Type="http://schemas.openxmlformats.org/officeDocument/2006/relationships/hyperlink" Target="mailto:ontikandytsui@ln.edu.hk" TargetMode="External"/><Relationship Id="rId12" Type="http://schemas.openxmlformats.org/officeDocument/2006/relationships/hyperlink" Target="mailto:carrieli@ln.edu.hk" TargetMode="External"/><Relationship Id="rId17" Type="http://schemas.openxmlformats.org/officeDocument/2006/relationships/hyperlink" Target="mailto:carrieli@ln.edu.hk" TargetMode="External"/><Relationship Id="rId25" Type="http://schemas.openxmlformats.org/officeDocument/2006/relationships/hyperlink" Target="mailto:ontikandytsui@ln.edu.hk" TargetMode="External"/><Relationship Id="rId33" Type="http://schemas.openxmlformats.org/officeDocument/2006/relationships/hyperlink" Target="mailto:hoiyihchan@ln.edu.hk" TargetMode="External"/><Relationship Id="rId2" Type="http://schemas.openxmlformats.org/officeDocument/2006/relationships/hyperlink" Target="mailto:carrieli@ln.edu.hk" TargetMode="External"/><Relationship Id="rId16" Type="http://schemas.openxmlformats.org/officeDocument/2006/relationships/hyperlink" Target="mailto:carrieli@ln.edu.hk" TargetMode="External"/><Relationship Id="rId20" Type="http://schemas.openxmlformats.org/officeDocument/2006/relationships/hyperlink" Target="mailto:ontikandytsui@ln.edu.hk" TargetMode="External"/><Relationship Id="rId29" Type="http://schemas.openxmlformats.org/officeDocument/2006/relationships/hyperlink" Target="mailto:ontikandytsui@ln.edu.hk" TargetMode="External"/><Relationship Id="rId1" Type="http://schemas.openxmlformats.org/officeDocument/2006/relationships/hyperlink" Target="mailto:ontikandytsui@ln.edu.hk" TargetMode="External"/><Relationship Id="rId6" Type="http://schemas.openxmlformats.org/officeDocument/2006/relationships/hyperlink" Target="mailto:ontikandytsui@ln.edu.hk" TargetMode="External"/><Relationship Id="rId11" Type="http://schemas.openxmlformats.org/officeDocument/2006/relationships/hyperlink" Target="mailto:carrieli@ln.edu.hk" TargetMode="External"/><Relationship Id="rId24" Type="http://schemas.openxmlformats.org/officeDocument/2006/relationships/hyperlink" Target="mailto:angielau@ln.edu.hk" TargetMode="External"/><Relationship Id="rId32" Type="http://schemas.openxmlformats.org/officeDocument/2006/relationships/hyperlink" Target="mailto:carrieli@ln.edu.hk" TargetMode="External"/><Relationship Id="rId37" Type="http://schemas.openxmlformats.org/officeDocument/2006/relationships/table" Target="../tables/table1.xml"/><Relationship Id="rId5" Type="http://schemas.openxmlformats.org/officeDocument/2006/relationships/hyperlink" Target="mailto:ontikandytsui@ln.edu.hk" TargetMode="External"/><Relationship Id="rId15" Type="http://schemas.openxmlformats.org/officeDocument/2006/relationships/hyperlink" Target="mailto:carrieli@ln.edu.hk" TargetMode="External"/><Relationship Id="rId23" Type="http://schemas.openxmlformats.org/officeDocument/2006/relationships/hyperlink" Target="mailto:ontikandytsui@ln.edu.hk" TargetMode="External"/><Relationship Id="rId28" Type="http://schemas.openxmlformats.org/officeDocument/2006/relationships/hyperlink" Target="mailto:tsangyl@LN.edu.hk" TargetMode="External"/><Relationship Id="rId36" Type="http://schemas.openxmlformats.org/officeDocument/2006/relationships/printerSettings" Target="../printerSettings/printerSettings1.bin"/><Relationship Id="rId10" Type="http://schemas.openxmlformats.org/officeDocument/2006/relationships/hyperlink" Target="mailto:ontikandytsui@ln.edu.hk" TargetMode="External"/><Relationship Id="rId19" Type="http://schemas.openxmlformats.org/officeDocument/2006/relationships/hyperlink" Target="mailto:ontikandytsui@ln.edu.hk" TargetMode="External"/><Relationship Id="rId31" Type="http://schemas.openxmlformats.org/officeDocument/2006/relationships/hyperlink" Target="mailto:ontikandytsui@ln.edu.hk" TargetMode="External"/><Relationship Id="rId4" Type="http://schemas.openxmlformats.org/officeDocument/2006/relationships/hyperlink" Target="mailto:ontikandytsui@ln.edu.hk" TargetMode="External"/><Relationship Id="rId9" Type="http://schemas.openxmlformats.org/officeDocument/2006/relationships/hyperlink" Target="mailto:ontikandytsui@ln.edu.hk" TargetMode="External"/><Relationship Id="rId14" Type="http://schemas.openxmlformats.org/officeDocument/2006/relationships/hyperlink" Target="mailto:carrieli@ln.edu.hk" TargetMode="External"/><Relationship Id="rId22" Type="http://schemas.openxmlformats.org/officeDocument/2006/relationships/hyperlink" Target="mailto:carrieli@ln.edu.hk" TargetMode="External"/><Relationship Id="rId27" Type="http://schemas.openxmlformats.org/officeDocument/2006/relationships/hyperlink" Target="mailto:linuslau@ln.edu.hk" TargetMode="External"/><Relationship Id="rId30" Type="http://schemas.openxmlformats.org/officeDocument/2006/relationships/hyperlink" Target="mailto:carrieli@ln.edu.hk" TargetMode="External"/><Relationship Id="rId35" Type="http://schemas.openxmlformats.org/officeDocument/2006/relationships/hyperlink" Target="mailto:mandycheung2@ln.edu.hk" TargetMode="External"/><Relationship Id="rId8" Type="http://schemas.openxmlformats.org/officeDocument/2006/relationships/hyperlink" Target="mailto:ontikandytsui@ln.edu.hk" TargetMode="External"/><Relationship Id="rId3" Type="http://schemas.openxmlformats.org/officeDocument/2006/relationships/hyperlink" Target="mailto:ontikandytsui@ln.edu.hk"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kylekwok@LN.edu.hk" TargetMode="External"/><Relationship Id="rId18" Type="http://schemas.openxmlformats.org/officeDocument/2006/relationships/hyperlink" Target="mailto:amychan3@ln.edu.hk" TargetMode="External"/><Relationship Id="rId26" Type="http://schemas.openxmlformats.org/officeDocument/2006/relationships/hyperlink" Target="mailto:amychan3@ln.edu.hk" TargetMode="External"/><Relationship Id="rId39" Type="http://schemas.openxmlformats.org/officeDocument/2006/relationships/hyperlink" Target="mailto:shanghuang@ln.edu.hk" TargetMode="External"/><Relationship Id="rId21" Type="http://schemas.openxmlformats.org/officeDocument/2006/relationships/hyperlink" Target="mailto:amychan3@ln.edu.hk" TargetMode="External"/><Relationship Id="rId34" Type="http://schemas.openxmlformats.org/officeDocument/2006/relationships/hyperlink" Target="mailto:kuikintang@ln.edu.hk" TargetMode="External"/><Relationship Id="rId42" Type="http://schemas.openxmlformats.org/officeDocument/2006/relationships/hyperlink" Target="mailto:shanghuang@ln.edu.hk" TargetMode="External"/><Relationship Id="rId47" Type="http://schemas.openxmlformats.org/officeDocument/2006/relationships/hyperlink" Target="mailto:racekuku@ln.edu.hk" TargetMode="External"/><Relationship Id="rId50" Type="http://schemas.openxmlformats.org/officeDocument/2006/relationships/hyperlink" Target="mailto:belindalau@ln.edu.hk" TargetMode="External"/><Relationship Id="rId55" Type="http://schemas.openxmlformats.org/officeDocument/2006/relationships/printerSettings" Target="../printerSettings/printerSettings2.bin"/><Relationship Id="rId7" Type="http://schemas.openxmlformats.org/officeDocument/2006/relationships/hyperlink" Target="mailto:edwinfok@LN.edu.hk" TargetMode="External"/><Relationship Id="rId2" Type="http://schemas.openxmlformats.org/officeDocument/2006/relationships/hyperlink" Target="mailto:cynthialam@ln.edu.hk" TargetMode="External"/><Relationship Id="rId16" Type="http://schemas.openxmlformats.org/officeDocument/2006/relationships/hyperlink" Target="mailto:amychan3@ln.edu.hk" TargetMode="External"/><Relationship Id="rId29" Type="http://schemas.openxmlformats.org/officeDocument/2006/relationships/hyperlink" Target="mailto:chaplain@ln.edu.hk" TargetMode="External"/><Relationship Id="rId11" Type="http://schemas.openxmlformats.org/officeDocument/2006/relationships/hyperlink" Target="https://lingnan.zoom.us/j/92918566788?pwd=t1o8byb2T4K1kwRR5LrJOeL5ZzTIWI.1" TargetMode="External"/><Relationship Id="rId24" Type="http://schemas.openxmlformats.org/officeDocument/2006/relationships/hyperlink" Target="mailto:kylekwok@LN.edu.hk" TargetMode="External"/><Relationship Id="rId32" Type="http://schemas.openxmlformats.org/officeDocument/2006/relationships/hyperlink" Target="mailto:kuikintang@ln.edu.hk" TargetMode="External"/><Relationship Id="rId37" Type="http://schemas.openxmlformats.org/officeDocument/2006/relationships/hyperlink" Target="mailto:racekuku@ln.edu.hk" TargetMode="External"/><Relationship Id="rId40" Type="http://schemas.openxmlformats.org/officeDocument/2006/relationships/hyperlink" Target="mailto:shanghuang@ln.edu.hk" TargetMode="External"/><Relationship Id="rId45" Type="http://schemas.openxmlformats.org/officeDocument/2006/relationships/hyperlink" Target="mailto:racekuku@ln.edu.hk" TargetMode="External"/><Relationship Id="rId53" Type="http://schemas.openxmlformats.org/officeDocument/2006/relationships/hyperlink" Target="mailto:belindalau@ln.edu.hk" TargetMode="External"/><Relationship Id="rId5" Type="http://schemas.openxmlformats.org/officeDocument/2006/relationships/hyperlink" Target="mailto:edwinfok@LN.edu.hk" TargetMode="External"/><Relationship Id="rId10" Type="http://schemas.openxmlformats.org/officeDocument/2006/relationships/hyperlink" Target="mailto:edwinfok@LN.edu.hk" TargetMode="External"/><Relationship Id="rId19" Type="http://schemas.openxmlformats.org/officeDocument/2006/relationships/hyperlink" Target="https://lingnan.zoom.us/meeting/register/ZBjLQOM5TG6JpG-1h6FzEw" TargetMode="External"/><Relationship Id="rId31" Type="http://schemas.openxmlformats.org/officeDocument/2006/relationships/hyperlink" Target="mailto:chaplain@ln.edu.hk" TargetMode="External"/><Relationship Id="rId44" Type="http://schemas.openxmlformats.org/officeDocument/2006/relationships/hyperlink" Target="mailto:racekuku@ln.edu.hk" TargetMode="External"/><Relationship Id="rId52" Type="http://schemas.openxmlformats.org/officeDocument/2006/relationships/hyperlink" Target="mailto:belindalau@ln.edu.hk" TargetMode="External"/><Relationship Id="rId4" Type="http://schemas.openxmlformats.org/officeDocument/2006/relationships/hyperlink" Target="mailto:edwinfok@LN.edu.hk" TargetMode="External"/><Relationship Id="rId9" Type="http://schemas.openxmlformats.org/officeDocument/2006/relationships/hyperlink" Target="mailto:edwinfok@LN.edu.hk" TargetMode="External"/><Relationship Id="rId14" Type="http://schemas.openxmlformats.org/officeDocument/2006/relationships/hyperlink" Target="https://lingnan.zoom.us/j/94670717743?pwd=8iXL5HKyCZqvkmLlOyfHTg2ucps85i.1" TargetMode="External"/><Relationship Id="rId22" Type="http://schemas.openxmlformats.org/officeDocument/2006/relationships/hyperlink" Target="https://lingnan.zoom.us/j/99027304902?pwd=9btjFnScYuDU2JQ3vYETm6y8HCwJbb.1" TargetMode="External"/><Relationship Id="rId27" Type="http://schemas.openxmlformats.org/officeDocument/2006/relationships/hyperlink" Target="mailto:samuelng@ln.edu.hk" TargetMode="External"/><Relationship Id="rId30" Type="http://schemas.openxmlformats.org/officeDocument/2006/relationships/hyperlink" Target="mailto:chaplain@ln.edu.hk" TargetMode="External"/><Relationship Id="rId35" Type="http://schemas.openxmlformats.org/officeDocument/2006/relationships/hyperlink" Target="mailto:teresasiu@ln.edu.hk" TargetMode="External"/><Relationship Id="rId43" Type="http://schemas.openxmlformats.org/officeDocument/2006/relationships/hyperlink" Target="mailto:racekuku@ln.edu.hk" TargetMode="External"/><Relationship Id="rId48" Type="http://schemas.openxmlformats.org/officeDocument/2006/relationships/hyperlink" Target="mailto:sophiecheng@ln.edu.hk" TargetMode="External"/><Relationship Id="rId56" Type="http://schemas.openxmlformats.org/officeDocument/2006/relationships/table" Target="../tables/table2.xml"/><Relationship Id="rId8" Type="http://schemas.openxmlformats.org/officeDocument/2006/relationships/hyperlink" Target="mailto:edwinfok@LN.edu.hk" TargetMode="External"/><Relationship Id="rId51" Type="http://schemas.openxmlformats.org/officeDocument/2006/relationships/hyperlink" Target="mailto:belindalau@ln.edu.hk" TargetMode="External"/><Relationship Id="rId3" Type="http://schemas.openxmlformats.org/officeDocument/2006/relationships/hyperlink" Target="mailto:cynthialam@ln.edu.hk" TargetMode="External"/><Relationship Id="rId12" Type="http://schemas.openxmlformats.org/officeDocument/2006/relationships/hyperlink" Target="mailto:amychan3@ln.edu.hk" TargetMode="External"/><Relationship Id="rId17" Type="http://schemas.openxmlformats.org/officeDocument/2006/relationships/hyperlink" Target="mailto:jessicali@ln.edu.hk" TargetMode="External"/><Relationship Id="rId25" Type="http://schemas.openxmlformats.org/officeDocument/2006/relationships/hyperlink" Target="mailto:jessicali@ln.edu.hk" TargetMode="External"/><Relationship Id="rId33" Type="http://schemas.openxmlformats.org/officeDocument/2006/relationships/hyperlink" Target="mailto:kuikintang@ln.edu.hk" TargetMode="External"/><Relationship Id="rId38" Type="http://schemas.openxmlformats.org/officeDocument/2006/relationships/hyperlink" Target="mailto:shanghuang@ln.edu.hk" TargetMode="External"/><Relationship Id="rId46" Type="http://schemas.openxmlformats.org/officeDocument/2006/relationships/hyperlink" Target="mailto:racekuku@ln.edu.hk" TargetMode="External"/><Relationship Id="rId20" Type="http://schemas.openxmlformats.org/officeDocument/2006/relationships/hyperlink" Target="mailto:jessicali@ln.edu.hk" TargetMode="External"/><Relationship Id="rId41" Type="http://schemas.openxmlformats.org/officeDocument/2006/relationships/hyperlink" Target="mailto:shanghuang@ln.edu.hk" TargetMode="External"/><Relationship Id="rId54" Type="http://schemas.openxmlformats.org/officeDocument/2006/relationships/hyperlink" Target="mailto:belindalau@ln.edu.hk" TargetMode="External"/><Relationship Id="rId1" Type="http://schemas.openxmlformats.org/officeDocument/2006/relationships/hyperlink" Target="mailto:cynthialam@ln.edu.hk" TargetMode="External"/><Relationship Id="rId6" Type="http://schemas.openxmlformats.org/officeDocument/2006/relationships/hyperlink" Target="mailto:edwinfok@LN.edu.hk" TargetMode="External"/><Relationship Id="rId15" Type="http://schemas.openxmlformats.org/officeDocument/2006/relationships/hyperlink" Target="mailto:jessicali@ln.edu.hk" TargetMode="External"/><Relationship Id="rId23" Type="http://schemas.openxmlformats.org/officeDocument/2006/relationships/hyperlink" Target="mailto:amychan3@ln.edu.hk" TargetMode="External"/><Relationship Id="rId28" Type="http://schemas.openxmlformats.org/officeDocument/2006/relationships/hyperlink" Target="mailto:estherng@ln.edu.hk" TargetMode="External"/><Relationship Id="rId36" Type="http://schemas.openxmlformats.org/officeDocument/2006/relationships/hyperlink" Target="mailto:shanghuang@ln.edu.hk" TargetMode="External"/><Relationship Id="rId49" Type="http://schemas.openxmlformats.org/officeDocument/2006/relationships/hyperlink" Target="mailto:joeylsw@ln.edu.hk"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jessicali@ln.edu.hk" TargetMode="External"/><Relationship Id="rId13" Type="http://schemas.openxmlformats.org/officeDocument/2006/relationships/hyperlink" Target="mailto:estherng@ln.edu.hk" TargetMode="External"/><Relationship Id="rId3" Type="http://schemas.openxmlformats.org/officeDocument/2006/relationships/hyperlink" Target="mailto:amychan3@ln.edu.hk" TargetMode="External"/><Relationship Id="rId7" Type="http://schemas.openxmlformats.org/officeDocument/2006/relationships/hyperlink" Target="mailto:kylekwok@LN.edu.hk" TargetMode="External"/><Relationship Id="rId12" Type="http://schemas.openxmlformats.org/officeDocument/2006/relationships/hyperlink" Target="mailto:samuelng@ln.edu.hk" TargetMode="External"/><Relationship Id="rId2" Type="http://schemas.openxmlformats.org/officeDocument/2006/relationships/hyperlink" Target="mailto:jessicali@ln.edu.hk" TargetMode="External"/><Relationship Id="rId1" Type="http://schemas.openxmlformats.org/officeDocument/2006/relationships/hyperlink" Target="mailto:joeyl@ln.edu.hk" TargetMode="External"/><Relationship Id="rId6" Type="http://schemas.openxmlformats.org/officeDocument/2006/relationships/hyperlink" Target="mailto:amychan3@ln.edu.hk" TargetMode="External"/><Relationship Id="rId11" Type="http://schemas.openxmlformats.org/officeDocument/2006/relationships/hyperlink" Target="mailto:estherng@ln.edu.hk" TargetMode="External"/><Relationship Id="rId5" Type="http://schemas.openxmlformats.org/officeDocument/2006/relationships/hyperlink" Target="mailto:amychan3@ln.edu.hk" TargetMode="External"/><Relationship Id="rId15" Type="http://schemas.openxmlformats.org/officeDocument/2006/relationships/table" Target="../tables/table3.xml"/><Relationship Id="rId10" Type="http://schemas.openxmlformats.org/officeDocument/2006/relationships/hyperlink" Target="mailto:samuelng@ln.edu.hk" TargetMode="External"/><Relationship Id="rId4" Type="http://schemas.openxmlformats.org/officeDocument/2006/relationships/hyperlink" Target="mailto:jessicali@ln.edu.hk" TargetMode="External"/><Relationship Id="rId9" Type="http://schemas.openxmlformats.org/officeDocument/2006/relationships/hyperlink" Target="mailto:amychan3@ln.edu.hk" TargetMode="External"/><Relationship Id="rId1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hyperlink" Target="mailto:jonathanchau@ln.edu.hk" TargetMode="External"/><Relationship Id="rId18" Type="http://schemas.openxmlformats.org/officeDocument/2006/relationships/hyperlink" Target="https://lingnan.zoom.us/j/93742717422?pwd=wAva49la0akGctV0t0c8Mzkb4mMbt9.1" TargetMode="External"/><Relationship Id="rId26" Type="http://schemas.openxmlformats.org/officeDocument/2006/relationships/hyperlink" Target="mailto:amychan3@ln.edu.hk" TargetMode="External"/><Relationship Id="rId21" Type="http://schemas.openxmlformats.org/officeDocument/2006/relationships/hyperlink" Target="mailto:jessicali@ln.edu.hk" TargetMode="External"/><Relationship Id="rId34" Type="http://schemas.openxmlformats.org/officeDocument/2006/relationships/hyperlink" Target="mailto:angela.arcay@ln.edu.hk" TargetMode="External"/><Relationship Id="rId7" Type="http://schemas.openxmlformats.org/officeDocument/2006/relationships/hyperlink" Target="mailto:michellechan5@LN.edu.hk" TargetMode="External"/><Relationship Id="rId12" Type="http://schemas.openxmlformats.org/officeDocument/2006/relationships/hyperlink" Target="mailto:nikiho@ln.edu.hk" TargetMode="External"/><Relationship Id="rId17" Type="http://schemas.openxmlformats.org/officeDocument/2006/relationships/hyperlink" Target="mailto:jessicali@ln.edu.hk" TargetMode="External"/><Relationship Id="rId25" Type="http://schemas.openxmlformats.org/officeDocument/2006/relationships/hyperlink" Target="mailto:jessicali@ln.edu.hk" TargetMode="External"/><Relationship Id="rId33" Type="http://schemas.openxmlformats.org/officeDocument/2006/relationships/hyperlink" Target="mailto:angela.arcay@ln.edu.hk" TargetMode="External"/><Relationship Id="rId38" Type="http://schemas.openxmlformats.org/officeDocument/2006/relationships/table" Target="../tables/table4.xml"/><Relationship Id="rId2" Type="http://schemas.openxmlformats.org/officeDocument/2006/relationships/hyperlink" Target="mailto:kakicheong2@ln.edu.hk" TargetMode="External"/><Relationship Id="rId16" Type="http://schemas.openxmlformats.org/officeDocument/2006/relationships/hyperlink" Target="mailto:amychan3@ln.edu.hk" TargetMode="External"/><Relationship Id="rId20" Type="http://schemas.openxmlformats.org/officeDocument/2006/relationships/hyperlink" Target="mailto:amychan3@ln.edu.hk" TargetMode="External"/><Relationship Id="rId29" Type="http://schemas.openxmlformats.org/officeDocument/2006/relationships/hyperlink" Target="mailto:jessicali@ln.edu.hk" TargetMode="External"/><Relationship Id="rId1" Type="http://schemas.openxmlformats.org/officeDocument/2006/relationships/hyperlink" Target="mailto:kakicheong2@ln.edu.hk" TargetMode="External"/><Relationship Id="rId6" Type="http://schemas.openxmlformats.org/officeDocument/2006/relationships/hyperlink" Target="mailto:michellechan5@LN.edu.hk" TargetMode="External"/><Relationship Id="rId11" Type="http://schemas.openxmlformats.org/officeDocument/2006/relationships/hyperlink" Target="mailto:nikiho@ln.edu.hk" TargetMode="External"/><Relationship Id="rId24" Type="http://schemas.openxmlformats.org/officeDocument/2006/relationships/hyperlink" Target="mailto:amychan3@ln.edu.hk" TargetMode="External"/><Relationship Id="rId32" Type="http://schemas.openxmlformats.org/officeDocument/2006/relationships/hyperlink" Target="mailto:angela.arcay@ln.edu.hk" TargetMode="External"/><Relationship Id="rId37" Type="http://schemas.openxmlformats.org/officeDocument/2006/relationships/printerSettings" Target="../printerSettings/printerSettings4.bin"/><Relationship Id="rId5" Type="http://schemas.openxmlformats.org/officeDocument/2006/relationships/hyperlink" Target="mailto:michellechan5@LN.edu.hk" TargetMode="External"/><Relationship Id="rId15" Type="http://schemas.openxmlformats.org/officeDocument/2006/relationships/hyperlink" Target="mailto:jonathanchau@ln.edu.hk" TargetMode="External"/><Relationship Id="rId23" Type="http://schemas.openxmlformats.org/officeDocument/2006/relationships/hyperlink" Target="mailto:jessicali@ln.edu.hk" TargetMode="External"/><Relationship Id="rId28" Type="http://schemas.openxmlformats.org/officeDocument/2006/relationships/hyperlink" Target="mailto:amychan3@ln.edu.hk" TargetMode="External"/><Relationship Id="rId36" Type="http://schemas.openxmlformats.org/officeDocument/2006/relationships/hyperlink" Target="mailto:angela.arcay@ln.edu.hk" TargetMode="External"/><Relationship Id="rId10" Type="http://schemas.openxmlformats.org/officeDocument/2006/relationships/hyperlink" Target="mailto:michellechan5@LN.edu.hk" TargetMode="External"/><Relationship Id="rId19" Type="http://schemas.openxmlformats.org/officeDocument/2006/relationships/hyperlink" Target="mailto:kylekwok@LN.edu.hk" TargetMode="External"/><Relationship Id="rId31" Type="http://schemas.openxmlformats.org/officeDocument/2006/relationships/hyperlink" Target="mailto:angela.arcay@ln.edu.hk" TargetMode="External"/><Relationship Id="rId4" Type="http://schemas.openxmlformats.org/officeDocument/2006/relationships/hyperlink" Target="mailto:michellechan5@LN.edu.hk" TargetMode="External"/><Relationship Id="rId9" Type="http://schemas.openxmlformats.org/officeDocument/2006/relationships/hyperlink" Target="mailto:michellechan5@LN.edu.hk" TargetMode="External"/><Relationship Id="rId14" Type="http://schemas.openxmlformats.org/officeDocument/2006/relationships/hyperlink" Target="mailto:jonathanchau@ln.edu.hk" TargetMode="External"/><Relationship Id="rId22" Type="http://schemas.openxmlformats.org/officeDocument/2006/relationships/hyperlink" Target="mailto:amychan3@ln.edu.hk" TargetMode="External"/><Relationship Id="rId27" Type="http://schemas.openxmlformats.org/officeDocument/2006/relationships/hyperlink" Target="mailto:kylekwok@LN.edu.hk" TargetMode="External"/><Relationship Id="rId30" Type="http://schemas.openxmlformats.org/officeDocument/2006/relationships/hyperlink" Target="mailto:amychan3@ln.edu.hk" TargetMode="External"/><Relationship Id="rId35" Type="http://schemas.openxmlformats.org/officeDocument/2006/relationships/hyperlink" Target="mailto:angela.arcay@ln.edu.hk" TargetMode="External"/><Relationship Id="rId8" Type="http://schemas.openxmlformats.org/officeDocument/2006/relationships/hyperlink" Target="mailto:michellechan5@LN.edu.hk" TargetMode="External"/><Relationship Id="rId3" Type="http://schemas.openxmlformats.org/officeDocument/2006/relationships/hyperlink" Target="mailto:kakicheong2@ln.edu.hk"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mailto:michellecheung@ln.edu.hk" TargetMode="External"/><Relationship Id="rId13" Type="http://schemas.openxmlformats.org/officeDocument/2006/relationships/hyperlink" Target="mailto:michellecheung@ln.edu.hk" TargetMode="External"/><Relationship Id="rId18" Type="http://schemas.openxmlformats.org/officeDocument/2006/relationships/hyperlink" Target="mailto:chaplain@ln.edu.hk" TargetMode="External"/><Relationship Id="rId3" Type="http://schemas.openxmlformats.org/officeDocument/2006/relationships/hyperlink" Target="mailto:michellecheung@ln.edu.hk" TargetMode="External"/><Relationship Id="rId21" Type="http://schemas.openxmlformats.org/officeDocument/2006/relationships/hyperlink" Target="mailto:kuikintang@ln.edu.hk" TargetMode="External"/><Relationship Id="rId7" Type="http://schemas.openxmlformats.org/officeDocument/2006/relationships/hyperlink" Target="mailto:michellecheung@ln.edu.hk" TargetMode="External"/><Relationship Id="rId12" Type="http://schemas.openxmlformats.org/officeDocument/2006/relationships/hyperlink" Target="mailto:michellecheung@ln.edu.hk" TargetMode="External"/><Relationship Id="rId17" Type="http://schemas.openxmlformats.org/officeDocument/2006/relationships/hyperlink" Target="mailto:chaplain@ln.edu.hk" TargetMode="External"/><Relationship Id="rId25" Type="http://schemas.openxmlformats.org/officeDocument/2006/relationships/table" Target="../tables/table5.xml"/><Relationship Id="rId2" Type="http://schemas.openxmlformats.org/officeDocument/2006/relationships/hyperlink" Target="mailto:michellecheung@ln.edu.hk" TargetMode="External"/><Relationship Id="rId16" Type="http://schemas.openxmlformats.org/officeDocument/2006/relationships/hyperlink" Target="mailto:chaplain@ln.edu.hk" TargetMode="External"/><Relationship Id="rId20" Type="http://schemas.openxmlformats.org/officeDocument/2006/relationships/hyperlink" Target="mailto:kuikintang@ln.edu.hk" TargetMode="External"/><Relationship Id="rId1" Type="http://schemas.openxmlformats.org/officeDocument/2006/relationships/hyperlink" Target="mailto:michellecheung@ln.edu.hk" TargetMode="External"/><Relationship Id="rId6" Type="http://schemas.openxmlformats.org/officeDocument/2006/relationships/hyperlink" Target="mailto:michellecheung@ln.edu.hk" TargetMode="External"/><Relationship Id="rId11" Type="http://schemas.openxmlformats.org/officeDocument/2006/relationships/hyperlink" Target="mailto:michellecheung@ln.edu.hk" TargetMode="External"/><Relationship Id="rId24" Type="http://schemas.openxmlformats.org/officeDocument/2006/relationships/printerSettings" Target="../printerSettings/printerSettings5.bin"/><Relationship Id="rId5" Type="http://schemas.openxmlformats.org/officeDocument/2006/relationships/hyperlink" Target="mailto:michellecheung@ln.edu.hk" TargetMode="External"/><Relationship Id="rId15" Type="http://schemas.openxmlformats.org/officeDocument/2006/relationships/hyperlink" Target="mailto:amychan3@ln.edu.hk" TargetMode="External"/><Relationship Id="rId23" Type="http://schemas.openxmlformats.org/officeDocument/2006/relationships/hyperlink" Target="mailto:joeylsw@ln.edu.hk" TargetMode="External"/><Relationship Id="rId10" Type="http://schemas.openxmlformats.org/officeDocument/2006/relationships/hyperlink" Target="mailto:michellecheung@ln.edu.hk" TargetMode="External"/><Relationship Id="rId19" Type="http://schemas.openxmlformats.org/officeDocument/2006/relationships/hyperlink" Target="mailto:kuikintang@ln.edu.hk" TargetMode="External"/><Relationship Id="rId4" Type="http://schemas.openxmlformats.org/officeDocument/2006/relationships/hyperlink" Target="mailto:michellecheung@ln.edu.hk" TargetMode="External"/><Relationship Id="rId9" Type="http://schemas.openxmlformats.org/officeDocument/2006/relationships/hyperlink" Target="mailto:michellecheung@ln.edu.hk" TargetMode="External"/><Relationship Id="rId14" Type="http://schemas.openxmlformats.org/officeDocument/2006/relationships/hyperlink" Target="mailto:jessicali@ln.edu.hk" TargetMode="External"/><Relationship Id="rId22" Type="http://schemas.openxmlformats.org/officeDocument/2006/relationships/hyperlink" Target="mailto:sophiecheng@ln.edu.hk"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mailto:waikitlo2@ln.edu.hk" TargetMode="External"/><Relationship Id="rId18" Type="http://schemas.openxmlformats.org/officeDocument/2006/relationships/hyperlink" Target="mailto:zhongxuanjiao@ln.edu.hk" TargetMode="External"/><Relationship Id="rId26" Type="http://schemas.openxmlformats.org/officeDocument/2006/relationships/hyperlink" Target="https://lingnan.zoom.us/j/91271425730?pwd=WX3UHmc47elnWVqE3q67mf3hqU9YXi.1" TargetMode="External"/><Relationship Id="rId39" Type="http://schemas.openxmlformats.org/officeDocument/2006/relationships/hyperlink" Target="mailto:kinglamhung@LN.edu.hk" TargetMode="External"/><Relationship Id="rId21" Type="http://schemas.openxmlformats.org/officeDocument/2006/relationships/hyperlink" Target="mailto:zhongxuanjiao@ln.edu.hk" TargetMode="External"/><Relationship Id="rId34" Type="http://schemas.openxmlformats.org/officeDocument/2006/relationships/hyperlink" Target="mailto:zeldalau@LN.edu.hk" TargetMode="External"/><Relationship Id="rId42" Type="http://schemas.openxmlformats.org/officeDocument/2006/relationships/hyperlink" Target="mailto:kariechan@LN.edu.hk" TargetMode="External"/><Relationship Id="rId47" Type="http://schemas.openxmlformats.org/officeDocument/2006/relationships/hyperlink" Target="mailto:hiutingho2@LN.edu.hk" TargetMode="External"/><Relationship Id="rId50" Type="http://schemas.openxmlformats.org/officeDocument/2006/relationships/hyperlink" Target="mailto:nansleung@LN.edu.hk" TargetMode="External"/><Relationship Id="rId55" Type="http://schemas.openxmlformats.org/officeDocument/2006/relationships/hyperlink" Target="mailto:nansleung@LN.edu.hk" TargetMode="External"/><Relationship Id="rId63" Type="http://schemas.openxmlformats.org/officeDocument/2006/relationships/printerSettings" Target="../printerSettings/printerSettings6.bin"/><Relationship Id="rId7" Type="http://schemas.openxmlformats.org/officeDocument/2006/relationships/hyperlink" Target="mailto:chadchan@ln.edu.hk" TargetMode="External"/><Relationship Id="rId2" Type="http://schemas.openxmlformats.org/officeDocument/2006/relationships/hyperlink" Target="mailto:choyileung@ln.hk" TargetMode="External"/><Relationship Id="rId16" Type="http://schemas.openxmlformats.org/officeDocument/2006/relationships/hyperlink" Target="mailto:aunwong@LN.edu.hk" TargetMode="External"/><Relationship Id="rId29" Type="http://schemas.openxmlformats.org/officeDocument/2006/relationships/hyperlink" Target="mailto:Yeungyu@ln.hk" TargetMode="External"/><Relationship Id="rId11" Type="http://schemas.openxmlformats.org/officeDocument/2006/relationships/hyperlink" Target="mailto:kamansin@ln.hk" TargetMode="External"/><Relationship Id="rId24" Type="http://schemas.openxmlformats.org/officeDocument/2006/relationships/hyperlink" Target="mailto:linwang@ln.edu.hk" TargetMode="External"/><Relationship Id="rId32" Type="http://schemas.openxmlformats.org/officeDocument/2006/relationships/hyperlink" Target="mailto:tobbykan@ln.edu.hk" TargetMode="External"/><Relationship Id="rId37" Type="http://schemas.openxmlformats.org/officeDocument/2006/relationships/hyperlink" Target="mailto:jianliu@LN.edu.hk" TargetMode="External"/><Relationship Id="rId40" Type="http://schemas.openxmlformats.org/officeDocument/2006/relationships/hyperlink" Target="mailto:kwakuobengeffah@ln.hk" TargetMode="External"/><Relationship Id="rId45" Type="http://schemas.openxmlformats.org/officeDocument/2006/relationships/hyperlink" Target="mailto:hoklampun@LN.edu.hk" TargetMode="External"/><Relationship Id="rId53" Type="http://schemas.openxmlformats.org/officeDocument/2006/relationships/hyperlink" Target="mailto:huizheng@ln.edu.hk" TargetMode="External"/><Relationship Id="rId58" Type="http://schemas.openxmlformats.org/officeDocument/2006/relationships/hyperlink" Target="mailto:nansleung@LN.edu.hk" TargetMode="External"/><Relationship Id="rId5" Type="http://schemas.openxmlformats.org/officeDocument/2006/relationships/hyperlink" Target="mailto:shingtocheung@ln.edu.hk" TargetMode="External"/><Relationship Id="rId61" Type="http://schemas.openxmlformats.org/officeDocument/2006/relationships/hyperlink" Target="mailto:hoimingleung@ln.edu.hk" TargetMode="External"/><Relationship Id="rId19" Type="http://schemas.openxmlformats.org/officeDocument/2006/relationships/hyperlink" Target="mailto:zhongxuanjiao@ln.edu.hk" TargetMode="External"/><Relationship Id="rId14" Type="http://schemas.openxmlformats.org/officeDocument/2006/relationships/hyperlink" Target="mailto:aunwong@LN.edu.hk" TargetMode="External"/><Relationship Id="rId22" Type="http://schemas.openxmlformats.org/officeDocument/2006/relationships/hyperlink" Target="mailto:belindalau@ln.edu.hk" TargetMode="External"/><Relationship Id="rId27" Type="http://schemas.openxmlformats.org/officeDocument/2006/relationships/hyperlink" Target="https://lingnan.zoom.us/j/93742242197?pwd=na2kw4aSuGDfbxNaUCZkZnR4z4FPfb.1" TargetMode="External"/><Relationship Id="rId30" Type="http://schemas.openxmlformats.org/officeDocument/2006/relationships/hyperlink" Target="mailto:helenlam5@LN.edu.hk" TargetMode="External"/><Relationship Id="rId35" Type="http://schemas.openxmlformats.org/officeDocument/2006/relationships/hyperlink" Target="mailto:zeldalau@LN.edu.hk" TargetMode="External"/><Relationship Id="rId43" Type="http://schemas.openxmlformats.org/officeDocument/2006/relationships/hyperlink" Target="mailto:ceciliachan@LN.edu.hk" TargetMode="External"/><Relationship Id="rId48" Type="http://schemas.openxmlformats.org/officeDocument/2006/relationships/hyperlink" Target="mailto:nansleung@LN.edu.hk" TargetMode="External"/><Relationship Id="rId56" Type="http://schemas.openxmlformats.org/officeDocument/2006/relationships/hyperlink" Target="mailto:nansleung@LN.edu.hk" TargetMode="External"/><Relationship Id="rId64" Type="http://schemas.openxmlformats.org/officeDocument/2006/relationships/table" Target="../tables/table6.xml"/><Relationship Id="rId8" Type="http://schemas.openxmlformats.org/officeDocument/2006/relationships/hyperlink" Target="mailto:chadchan@ln.edu.hk" TargetMode="External"/><Relationship Id="rId51" Type="http://schemas.openxmlformats.org/officeDocument/2006/relationships/hyperlink" Target="mailto:nansleung@LN.edu.hk" TargetMode="External"/><Relationship Id="rId3" Type="http://schemas.openxmlformats.org/officeDocument/2006/relationships/hyperlink" Target="mailto:nlu@ln.edu.hk" TargetMode="External"/><Relationship Id="rId12" Type="http://schemas.openxmlformats.org/officeDocument/2006/relationships/hyperlink" Target="mailto:waikitlo2@ln.edu.hk" TargetMode="External"/><Relationship Id="rId17" Type="http://schemas.openxmlformats.org/officeDocument/2006/relationships/hyperlink" Target="mailto:aunwong@LN.edu.hk" TargetMode="External"/><Relationship Id="rId25" Type="http://schemas.openxmlformats.org/officeDocument/2006/relationships/hyperlink" Target="mailto:harpermai@ln.edu.hk" TargetMode="External"/><Relationship Id="rId33" Type="http://schemas.openxmlformats.org/officeDocument/2006/relationships/hyperlink" Target="mailto:tobbykan@ln.edu.hk" TargetMode="External"/><Relationship Id="rId38" Type="http://schemas.openxmlformats.org/officeDocument/2006/relationships/hyperlink" Target="mailto:jianliu@LN.edu.hk" TargetMode="External"/><Relationship Id="rId46" Type="http://schemas.openxmlformats.org/officeDocument/2006/relationships/hyperlink" Target="mailto:nansleung@LN.edu.hk" TargetMode="External"/><Relationship Id="rId59" Type="http://schemas.openxmlformats.org/officeDocument/2006/relationships/hyperlink" Target="mailto:shingheikong@ln.edu.hk" TargetMode="External"/><Relationship Id="rId20" Type="http://schemas.openxmlformats.org/officeDocument/2006/relationships/hyperlink" Target="mailto:zhongxuanjiao@ln.edu.hk" TargetMode="External"/><Relationship Id="rId41" Type="http://schemas.openxmlformats.org/officeDocument/2006/relationships/hyperlink" Target="mailto:mwabamoonochipili@ln.hk" TargetMode="External"/><Relationship Id="rId54" Type="http://schemas.openxmlformats.org/officeDocument/2006/relationships/hyperlink" Target="mailto:chunngaichan2@ln.hk" TargetMode="External"/><Relationship Id="rId62" Type="http://schemas.openxmlformats.org/officeDocument/2006/relationships/hyperlink" Target="mailto:jiaminliao@LN.edu.hk" TargetMode="External"/><Relationship Id="rId1" Type="http://schemas.openxmlformats.org/officeDocument/2006/relationships/hyperlink" Target="mailto:justinliu@ln.edu.hk" TargetMode="External"/><Relationship Id="rId6" Type="http://schemas.openxmlformats.org/officeDocument/2006/relationships/hyperlink" Target="mailto:hcmchoiman@gmail.com" TargetMode="External"/><Relationship Id="rId15" Type="http://schemas.openxmlformats.org/officeDocument/2006/relationships/hyperlink" Target="mailto:aunwong@LN.edu.hk" TargetMode="External"/><Relationship Id="rId23" Type="http://schemas.openxmlformats.org/officeDocument/2006/relationships/hyperlink" Target="mailto:belindalau@ln.edu.hk" TargetMode="External"/><Relationship Id="rId28" Type="http://schemas.openxmlformats.org/officeDocument/2006/relationships/hyperlink" Target="mailto:jillchan@ln.edu.hk" TargetMode="External"/><Relationship Id="rId36" Type="http://schemas.openxmlformats.org/officeDocument/2006/relationships/hyperlink" Target="mailto:zeldalau@LN.edu.hk" TargetMode="External"/><Relationship Id="rId49" Type="http://schemas.openxmlformats.org/officeDocument/2006/relationships/hyperlink" Target="mailto:nansleung@LN.edu.hk" TargetMode="External"/><Relationship Id="rId57" Type="http://schemas.openxmlformats.org/officeDocument/2006/relationships/hyperlink" Target="mailto:jiayingfu@LN.edu.hk" TargetMode="External"/><Relationship Id="rId10" Type="http://schemas.openxmlformats.org/officeDocument/2006/relationships/hyperlink" Target="mailto:kinkwankwok1218@gmail.com" TargetMode="External"/><Relationship Id="rId31" Type="http://schemas.openxmlformats.org/officeDocument/2006/relationships/hyperlink" Target="mailto:shijiepan@ln.edu.hk" TargetMode="External"/><Relationship Id="rId44" Type="http://schemas.openxmlformats.org/officeDocument/2006/relationships/hyperlink" Target="mailto:nansleung@LN.edu.hk" TargetMode="External"/><Relationship Id="rId52" Type="http://schemas.openxmlformats.org/officeDocument/2006/relationships/hyperlink" Target="mailto:nansleung@LN.edu.hk" TargetMode="External"/><Relationship Id="rId60" Type="http://schemas.openxmlformats.org/officeDocument/2006/relationships/hyperlink" Target="mailto:teresasiu@ln.edu.hk" TargetMode="External"/><Relationship Id="rId4" Type="http://schemas.openxmlformats.org/officeDocument/2006/relationships/hyperlink" Target="mailto:chenanna@ln.hk" TargetMode="External"/><Relationship Id="rId9" Type="http://schemas.openxmlformats.org/officeDocument/2006/relationships/hyperlink" Target="mailto:chadchan@ln.edu.h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616CA-924A-4F10-BE6C-42FB09AAA293}">
  <sheetPr>
    <pageSetUpPr fitToPage="1"/>
  </sheetPr>
  <dimension ref="A1:EZ51"/>
  <sheetViews>
    <sheetView topLeftCell="CF19" zoomScale="55" zoomScaleNormal="55" workbookViewId="0">
      <selection activeCell="DN24" sqref="DJ24:DN24"/>
    </sheetView>
  </sheetViews>
  <sheetFormatPr defaultColWidth="9.140625" defaultRowHeight="15"/>
  <cols>
    <col min="1" max="1" width="4.140625" style="8" bestFit="1" customWidth="1"/>
    <col min="2" max="2" width="14.7109375" style="4" customWidth="1"/>
    <col min="3" max="3" width="14.42578125" style="4" customWidth="1"/>
    <col min="4" max="4" width="15" style="4" customWidth="1"/>
    <col min="5" max="5" width="12.140625" style="4" customWidth="1"/>
    <col min="6" max="6" width="14" style="4" bestFit="1" customWidth="1"/>
    <col min="7" max="7" width="14" style="4" customWidth="1"/>
    <col min="8" max="8" width="30.7109375" customWidth="1"/>
    <col min="9" max="10" width="30.7109375" style="4" customWidth="1"/>
    <col min="11" max="11" width="35.7109375" style="4" customWidth="1"/>
    <col min="12" max="12" width="17.140625" style="4" customWidth="1"/>
    <col min="13" max="13" width="117.85546875" style="159" customWidth="1"/>
    <col min="14" max="14" width="155" customWidth="1"/>
    <col min="15" max="15" width="33.42578125" style="4" customWidth="1"/>
    <col min="16" max="16" width="25.5703125" style="4" customWidth="1"/>
    <col min="17" max="17" width="26.28515625" customWidth="1"/>
    <col min="18" max="18" width="19.28515625" style="4" customWidth="1"/>
    <col min="19" max="19" width="18.140625" style="4" customWidth="1"/>
    <col min="20" max="20" width="23.140625" style="3" customWidth="1"/>
    <col min="21" max="21" width="22.28515625" style="3" customWidth="1"/>
    <col min="22" max="22" width="19.140625" style="3" customWidth="1"/>
    <col min="23" max="23" width="20.7109375" style="3" customWidth="1"/>
    <col min="24" max="24" width="22.42578125" style="3" customWidth="1"/>
    <col min="25" max="25" width="21.5703125" style="3" customWidth="1"/>
    <col min="26" max="26" width="22" style="3" customWidth="1"/>
    <col min="27" max="27" width="23.140625" style="3" customWidth="1"/>
    <col min="28" max="28" width="11" style="3" customWidth="1"/>
    <col min="29" max="29" width="21" style="3" customWidth="1"/>
    <col min="30" max="30" width="19.28515625" customWidth="1"/>
    <col min="31" max="31" width="18" style="4" customWidth="1"/>
    <col min="32" max="33" width="18" style="3" customWidth="1"/>
    <col min="34" max="34" width="17.7109375" style="3" customWidth="1"/>
    <col min="35" max="35" width="12.140625" style="3" customWidth="1"/>
    <col min="36" max="36" width="18.140625" customWidth="1"/>
    <col min="37" max="37" width="16.85546875" customWidth="1"/>
    <col min="38" max="38" width="13.140625" style="4" customWidth="1"/>
    <col min="39" max="39" width="12.7109375" customWidth="1"/>
    <col min="40" max="40" width="12.7109375" style="4" customWidth="1"/>
    <col min="41" max="41" width="12.85546875" style="3" customWidth="1"/>
    <col min="42" max="42" width="15.7109375" style="3" customWidth="1"/>
    <col min="43" max="43" width="11.7109375" style="3" customWidth="1"/>
    <col min="44" max="45" width="12.7109375" style="3" customWidth="1"/>
    <col min="46" max="46" width="12.85546875" style="159" customWidth="1"/>
    <col min="47" max="47" width="15.7109375" style="3" customWidth="1"/>
    <col min="48" max="48" width="11.7109375" style="3" customWidth="1"/>
    <col min="49" max="50" width="12.7109375" style="3" customWidth="1"/>
    <col min="51" max="51" width="12.85546875" style="159" customWidth="1"/>
    <col min="52" max="52" width="14.5703125" style="3" customWidth="1"/>
    <col min="53" max="53" width="11.7109375" style="3" customWidth="1"/>
    <col min="54" max="55" width="12.7109375" style="3" customWidth="1"/>
    <col min="56" max="56" width="12.85546875" style="159"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customWidth="1"/>
    <col min="67" max="67" width="15.28515625" style="3" customWidth="1"/>
    <col min="68" max="68" width="41.85546875" style="3" customWidth="1"/>
    <col min="69" max="69" width="20.7109375" style="3" customWidth="1"/>
    <col min="70" max="70" width="44.140625" style="3" customWidth="1"/>
    <col min="71" max="71" width="15.28515625" style="4"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hidden="1" customWidth="1"/>
    <col min="116" max="116" width="13.42578125" style="4" hidden="1" customWidth="1"/>
    <col min="117" max="117" width="13" style="4" hidden="1"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80" t="s">
        <v>0</v>
      </c>
      <c r="C1" s="878"/>
      <c r="D1" s="878"/>
      <c r="E1" s="874"/>
      <c r="F1" s="2"/>
      <c r="G1" s="2"/>
      <c r="H1" s="873" t="s">
        <v>1</v>
      </c>
      <c r="I1" s="874"/>
      <c r="K1" s="873" t="s">
        <v>2</v>
      </c>
      <c r="L1" s="874"/>
      <c r="M1" s="4"/>
      <c r="N1" s="4"/>
      <c r="O1" s="875" t="s">
        <v>3</v>
      </c>
      <c r="P1" s="877"/>
      <c r="Q1" s="873" t="s">
        <v>4</v>
      </c>
      <c r="R1" s="874"/>
      <c r="S1" s="873" t="s">
        <v>5</v>
      </c>
      <c r="T1" s="878"/>
      <c r="U1" s="878"/>
      <c r="V1" s="878"/>
      <c r="W1" s="878"/>
      <c r="X1" s="878"/>
      <c r="Y1" s="878"/>
      <c r="Z1" s="878"/>
      <c r="AA1" s="878"/>
      <c r="AB1" s="874"/>
      <c r="AD1" s="3"/>
      <c r="AE1" s="3"/>
      <c r="AH1" s="875" t="s">
        <v>6</v>
      </c>
      <c r="AI1" s="876"/>
      <c r="AJ1" s="877"/>
      <c r="AK1" s="5" t="s">
        <v>7</v>
      </c>
      <c r="AL1" s="3"/>
      <c r="AM1" s="3"/>
      <c r="AN1" s="3"/>
      <c r="AP1" s="875" t="s">
        <v>8</v>
      </c>
      <c r="AQ1" s="876"/>
      <c r="AR1" s="876"/>
      <c r="AS1" s="876"/>
      <c r="AT1" s="876"/>
      <c r="AU1" s="876"/>
      <c r="AV1" s="876"/>
      <c r="AW1" s="876"/>
      <c r="AX1" s="876"/>
      <c r="AY1" s="876"/>
      <c r="AZ1" s="876"/>
      <c r="BA1" s="876"/>
      <c r="BB1" s="876"/>
      <c r="BC1" s="876"/>
      <c r="BD1" s="876"/>
      <c r="BE1" s="876"/>
      <c r="BF1" s="876"/>
      <c r="BG1" s="876"/>
      <c r="BH1" s="876"/>
      <c r="BI1" s="876"/>
      <c r="BJ1" s="876"/>
      <c r="BK1" s="876"/>
      <c r="BL1" s="876"/>
      <c r="BM1" s="876"/>
      <c r="BN1" s="877"/>
      <c r="BP1" s="5" t="s">
        <v>9</v>
      </c>
      <c r="BQ1" s="5" t="s">
        <v>10</v>
      </c>
      <c r="BR1" s="4"/>
      <c r="BT1" s="4"/>
      <c r="BU1" s="4"/>
      <c r="BV1" s="4"/>
      <c r="BW1" s="873" t="s">
        <v>11</v>
      </c>
      <c r="BX1" s="878"/>
      <c r="BY1" s="878"/>
      <c r="BZ1" s="878"/>
      <c r="CA1" s="874"/>
      <c r="CB1" s="879"/>
      <c r="CC1" s="879"/>
      <c r="CD1" s="879"/>
      <c r="CE1" s="873" t="s">
        <v>12</v>
      </c>
      <c r="CF1" s="878"/>
      <c r="CG1" s="878"/>
      <c r="CH1" s="874"/>
      <c r="CI1" s="6"/>
      <c r="CJ1" s="875" t="s">
        <v>13</v>
      </c>
      <c r="CK1" s="876"/>
      <c r="CL1" s="876"/>
      <c r="CM1" s="876"/>
      <c r="CN1" s="876"/>
      <c r="CO1" s="876"/>
      <c r="CP1" s="876"/>
      <c r="CQ1" s="876"/>
      <c r="CR1" s="876"/>
      <c r="CS1" s="876"/>
      <c r="CT1" s="876"/>
      <c r="CU1" s="876"/>
      <c r="CV1" s="876"/>
      <c r="CW1" s="876"/>
      <c r="CX1" s="876"/>
      <c r="CY1" s="876"/>
      <c r="CZ1" s="877"/>
      <c r="DB1" s="7"/>
      <c r="DC1" s="7"/>
      <c r="DD1" s="4"/>
      <c r="DE1" s="7"/>
      <c r="DF1" s="7"/>
      <c r="DG1" s="7"/>
      <c r="DH1" s="4"/>
      <c r="DI1" s="873" t="s">
        <v>14</v>
      </c>
      <c r="DJ1" s="874"/>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327" t="s">
        <v>101</v>
      </c>
      <c r="CJ2" s="328" t="s">
        <v>102</v>
      </c>
      <c r="CK2" s="328" t="s">
        <v>103</v>
      </c>
      <c r="CL2" s="328" t="s">
        <v>104</v>
      </c>
      <c r="CM2" s="328" t="s">
        <v>105</v>
      </c>
      <c r="CN2" s="328" t="s">
        <v>106</v>
      </c>
      <c r="CO2" s="328" t="s">
        <v>107</v>
      </c>
      <c r="CP2" s="328" t="s">
        <v>108</v>
      </c>
      <c r="CQ2" s="328" t="s">
        <v>109</v>
      </c>
      <c r="CR2" s="328" t="s">
        <v>110</v>
      </c>
      <c r="CS2" s="328" t="s">
        <v>111</v>
      </c>
      <c r="CT2" s="328" t="s">
        <v>112</v>
      </c>
      <c r="CU2" s="328" t="s">
        <v>113</v>
      </c>
      <c r="CV2" s="328" t="s">
        <v>114</v>
      </c>
      <c r="CW2" s="328" t="s">
        <v>115</v>
      </c>
      <c r="CX2" s="328" t="s">
        <v>116</v>
      </c>
      <c r="CY2" s="328" t="s">
        <v>117</v>
      </c>
      <c r="CZ2" s="328" t="s">
        <v>118</v>
      </c>
      <c r="DA2" s="18" t="s">
        <v>119</v>
      </c>
      <c r="DB2" s="18" t="s">
        <v>120</v>
      </c>
      <c r="DC2" s="18" t="s">
        <v>121</v>
      </c>
      <c r="DD2" s="18" t="s">
        <v>122</v>
      </c>
      <c r="DE2" s="18" t="s">
        <v>123</v>
      </c>
      <c r="DF2" s="18" t="s">
        <v>124</v>
      </c>
      <c r="DG2" s="18" t="s">
        <v>125</v>
      </c>
      <c r="DH2" s="329" t="s">
        <v>126</v>
      </c>
      <c r="DI2" s="18" t="s">
        <v>127</v>
      </c>
      <c r="DJ2" s="18" t="s">
        <v>128</v>
      </c>
      <c r="DK2" s="18" t="s">
        <v>129</v>
      </c>
      <c r="DL2" s="18" t="s">
        <v>130</v>
      </c>
      <c r="DM2" s="330" t="s">
        <v>131</v>
      </c>
      <c r="DN2" s="17" t="s">
        <v>2236</v>
      </c>
    </row>
    <row r="3" spans="1:156" ht="135.75" customHeight="1">
      <c r="A3" s="48">
        <v>1</v>
      </c>
      <c r="B3" s="49">
        <v>202609</v>
      </c>
      <c r="C3" s="50" t="s">
        <v>132</v>
      </c>
      <c r="D3" s="50" t="s">
        <v>133</v>
      </c>
      <c r="E3" s="51">
        <v>5642</v>
      </c>
      <c r="F3" s="52" t="s">
        <v>134</v>
      </c>
      <c r="G3" s="53" t="s">
        <v>135</v>
      </c>
      <c r="H3" s="628" t="s">
        <v>136</v>
      </c>
      <c r="I3" s="331" t="s">
        <v>137</v>
      </c>
      <c r="J3" s="629" t="s">
        <v>138</v>
      </c>
      <c r="K3" s="628" t="s">
        <v>139</v>
      </c>
      <c r="L3" s="331"/>
      <c r="M3" s="630" t="s">
        <v>140</v>
      </c>
      <c r="N3" s="631" t="s">
        <v>141</v>
      </c>
      <c r="O3" s="632" t="s">
        <v>142</v>
      </c>
      <c r="P3" s="632" t="s">
        <v>142</v>
      </c>
      <c r="Q3" s="629" t="s">
        <v>143</v>
      </c>
      <c r="R3" s="61" t="str">
        <f>VLOOKUP(Sheet_1_Table_1_137[[#This Row],[Learning Domain]],[7]List!$A$7:$B$12,2,0)</f>
        <v>CELD</v>
      </c>
      <c r="S3" s="55">
        <v>60</v>
      </c>
      <c r="T3" s="55">
        <v>0</v>
      </c>
      <c r="U3" s="55">
        <v>0</v>
      </c>
      <c r="V3" s="55">
        <v>0</v>
      </c>
      <c r="W3" s="55">
        <v>0</v>
      </c>
      <c r="X3" s="55">
        <v>20</v>
      </c>
      <c r="Y3" s="55">
        <v>20</v>
      </c>
      <c r="Z3" s="55">
        <v>0</v>
      </c>
      <c r="AA3" s="55">
        <v>0</v>
      </c>
      <c r="AB3" s="53">
        <f>SUM(Sheet_1_Table_1_137[[#This Row],[Leadership LS]:[Career Development  CR]])</f>
        <v>100</v>
      </c>
      <c r="AC3" s="52" t="s">
        <v>144</v>
      </c>
      <c r="AD3" s="55" t="s">
        <v>145</v>
      </c>
      <c r="AE3" s="55" t="s">
        <v>142</v>
      </c>
      <c r="AF3" s="55" t="s">
        <v>146</v>
      </c>
      <c r="AG3" s="55" t="s">
        <v>142</v>
      </c>
      <c r="AH3" s="55">
        <v>1</v>
      </c>
      <c r="AI3" s="55">
        <v>70</v>
      </c>
      <c r="AJ3" s="62">
        <f>Sheet_1_Table_1_137[[#This Row],[ILP Units Per Session]]*Sheet_1_Table_1_137[[#This Row],[Quota]]</f>
        <v>70</v>
      </c>
      <c r="AK3" s="63">
        <v>46274</v>
      </c>
      <c r="AL3" s="332">
        <f>WEEKDAY(Sheet_1_Table_1_137[[#This Row],[Lesson 1 
Date 
(DD-MMM-YYYY)]])</f>
        <v>4</v>
      </c>
      <c r="AM3" s="65">
        <v>0.66666666666666663</v>
      </c>
      <c r="AN3" s="66">
        <v>0.70833333333333337</v>
      </c>
      <c r="AO3" s="67" t="s">
        <v>147</v>
      </c>
      <c r="AP3" s="68"/>
      <c r="AQ3" s="64">
        <f>WEEKDAY(Sheet_1_Table_1_137[[#This Row],[Lesson 1 
Date 
(DD-MMM-YYYY)]])</f>
        <v>4</v>
      </c>
      <c r="AR3" s="65"/>
      <c r="AS3" s="66"/>
      <c r="AT3" s="66"/>
      <c r="AU3" s="63"/>
      <c r="AV3" s="64" t="e">
        <f>WEEKDAY([8]!Sheet_1_Table_1_13[[#This Row],[Lesson 3
Date 
(DD-MMM-YYYY)]])</f>
        <v>#REF!</v>
      </c>
      <c r="AW3" s="65"/>
      <c r="AX3" s="66"/>
      <c r="AY3" s="67"/>
      <c r="AZ3" s="68"/>
      <c r="BA3" s="64" t="e">
        <f>WEEKDAY([8]!Sheet_1_Table_1_13[[#This Row],[Lesson 4
Date 
(DD-MMM-YYYY)]])</f>
        <v>#REF!</v>
      </c>
      <c r="BB3" s="65"/>
      <c r="BC3" s="66"/>
      <c r="BD3" s="66"/>
      <c r="BE3" s="63"/>
      <c r="BF3" s="64" t="e">
        <f>WEEKDAY([8]!Sheet_1_Table_1_13[[#This Row],[Lesson 5
Date 
(DD-MMM-YYYY)]])</f>
        <v>#REF!</v>
      </c>
      <c r="BG3" s="65"/>
      <c r="BH3" s="66"/>
      <c r="BI3" s="67"/>
      <c r="BJ3" s="68"/>
      <c r="BK3" s="64" t="e">
        <f>WEEKDAY([8]!Sheet_1_Table_1_13[[#This Row],[Lesson 6
Date 
(DD-MMM-YYYY)]])</f>
        <v>#REF!</v>
      </c>
      <c r="BL3" s="65"/>
      <c r="BM3" s="66"/>
      <c r="BN3" s="66"/>
      <c r="BO3" s="550"/>
      <c r="BP3" s="633"/>
      <c r="BQ3" s="634"/>
      <c r="BR3" s="635" t="s">
        <v>148</v>
      </c>
      <c r="BS3" s="52"/>
      <c r="BT3" s="56"/>
      <c r="BU3" s="56"/>
      <c r="BV3" s="70"/>
      <c r="BW3" s="60"/>
      <c r="BX3" s="71"/>
      <c r="BY3" s="56" t="s">
        <v>149</v>
      </c>
      <c r="BZ3" s="56"/>
      <c r="CA3" s="56" t="s">
        <v>149</v>
      </c>
      <c r="CB3" s="72"/>
      <c r="CC3" s="72"/>
      <c r="CD3" s="71"/>
      <c r="CE3" s="60" t="s">
        <v>150</v>
      </c>
      <c r="CF3" s="164" t="s">
        <v>151</v>
      </c>
      <c r="CG3" s="56" t="s">
        <v>152</v>
      </c>
      <c r="CH3" s="291" t="s">
        <v>153</v>
      </c>
      <c r="CI3" s="52" t="s">
        <v>146</v>
      </c>
      <c r="CJ3" s="52" t="s">
        <v>142</v>
      </c>
      <c r="CK3" s="52" t="s">
        <v>142</v>
      </c>
      <c r="CL3" s="52" t="s">
        <v>142</v>
      </c>
      <c r="CM3" s="52" t="s">
        <v>142</v>
      </c>
      <c r="CN3" s="52" t="s">
        <v>142</v>
      </c>
      <c r="CO3" s="52" t="s">
        <v>142</v>
      </c>
      <c r="CP3" s="52" t="s">
        <v>142</v>
      </c>
      <c r="CQ3" s="52" t="s">
        <v>142</v>
      </c>
      <c r="CR3" s="52" t="s">
        <v>142</v>
      </c>
      <c r="CS3" s="52" t="s">
        <v>146</v>
      </c>
      <c r="CT3" s="52" t="s">
        <v>146</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N3" s="790"/>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162.75" customHeight="1">
      <c r="A4" s="48">
        <v>2</v>
      </c>
      <c r="B4" s="49">
        <v>202609</v>
      </c>
      <c r="C4" s="50" t="s">
        <v>158</v>
      </c>
      <c r="D4" s="197" t="s">
        <v>133</v>
      </c>
      <c r="E4" s="198">
        <v>5643</v>
      </c>
      <c r="F4" s="52" t="s">
        <v>134</v>
      </c>
      <c r="G4" s="53" t="s">
        <v>135</v>
      </c>
      <c r="H4" s="628" t="s">
        <v>136</v>
      </c>
      <c r="I4" s="331" t="s">
        <v>137</v>
      </c>
      <c r="J4" s="629" t="s">
        <v>159</v>
      </c>
      <c r="K4" s="628" t="s">
        <v>160</v>
      </c>
      <c r="L4" s="331"/>
      <c r="M4" s="630" t="s">
        <v>161</v>
      </c>
      <c r="N4" s="631" t="s">
        <v>162</v>
      </c>
      <c r="O4" s="632" t="s">
        <v>142</v>
      </c>
      <c r="P4" s="632" t="s">
        <v>142</v>
      </c>
      <c r="Q4" s="629" t="s">
        <v>143</v>
      </c>
      <c r="R4" s="77" t="str">
        <f>VLOOKUP(Sheet_1_Table_1_137[[#This Row],[Learning Domain]],[7]List!$A$7:$B$12,2,0)</f>
        <v>CELD</v>
      </c>
      <c r="S4" s="55">
        <v>70</v>
      </c>
      <c r="T4" s="55"/>
      <c r="U4" s="55"/>
      <c r="V4" s="55"/>
      <c r="W4" s="55"/>
      <c r="X4" s="55">
        <v>20</v>
      </c>
      <c r="Y4" s="55">
        <v>10</v>
      </c>
      <c r="Z4" s="55"/>
      <c r="AA4" s="55"/>
      <c r="AB4" s="53">
        <f>SUM(Sheet_1_Table_1_137[[#This Row],[Leadership LS]:[Career Development  CR]])</f>
        <v>100</v>
      </c>
      <c r="AC4" s="52" t="s">
        <v>144</v>
      </c>
      <c r="AD4" s="201" t="s">
        <v>145</v>
      </c>
      <c r="AE4" s="201" t="s">
        <v>146</v>
      </c>
      <c r="AF4" s="201" t="s">
        <v>142</v>
      </c>
      <c r="AG4" s="201" t="s">
        <v>142</v>
      </c>
      <c r="AH4" s="201">
        <v>1</v>
      </c>
      <c r="AI4" s="55">
        <v>70</v>
      </c>
      <c r="AJ4" s="202">
        <f>Sheet_1_Table_1_137[[#This Row],[ILP Units Per Session]]*Sheet_1_Table_1_137[[#This Row],[Quota]]</f>
        <v>70</v>
      </c>
      <c r="AK4" s="309">
        <v>46272</v>
      </c>
      <c r="AL4" s="334">
        <f>WEEKDAY(Sheet_1_Table_1_137[[#This Row],[Lesson 1 
Date 
(DD-MMM-YYYY)]])</f>
        <v>2</v>
      </c>
      <c r="AM4" s="65">
        <v>0.66666666666666663</v>
      </c>
      <c r="AN4" s="66">
        <v>0.70833333333333337</v>
      </c>
      <c r="AO4" s="207" t="s">
        <v>147</v>
      </c>
      <c r="AP4" s="68"/>
      <c r="AQ4" s="64">
        <f>WEEKDAY(Sheet_1_Table_1_137[[#This Row],[Lesson 1 
Date 
(DD-MMM-YYYY)]])</f>
        <v>2</v>
      </c>
      <c r="AR4" s="65"/>
      <c r="AS4" s="66"/>
      <c r="AT4" s="66"/>
      <c r="AU4" s="203"/>
      <c r="AV4" s="165" t="e">
        <f>WEEKDAY([8]!Sheet_1_Table_1_13[[#This Row],[Lesson 3
Date 
(DD-MMM-YYYY)]])</f>
        <v>#REF!</v>
      </c>
      <c r="AW4" s="204"/>
      <c r="AX4" s="205"/>
      <c r="AY4" s="207"/>
      <c r="AZ4" s="68"/>
      <c r="BA4" s="64" t="e">
        <f>WEEKDAY([8]!Sheet_1_Table_1_13[[#This Row],[Lesson 4
Date 
(DD-MMM-YYYY)]])</f>
        <v>#REF!</v>
      </c>
      <c r="BB4" s="65"/>
      <c r="BC4" s="66"/>
      <c r="BD4" s="66"/>
      <c r="BE4" s="203"/>
      <c r="BF4" s="165" t="e">
        <f>WEEKDAY([8]!Sheet_1_Table_1_13[[#This Row],[Lesson 5
Date 
(DD-MMM-YYYY)]])</f>
        <v>#REF!</v>
      </c>
      <c r="BG4" s="204"/>
      <c r="BH4" s="205"/>
      <c r="BI4" s="207"/>
      <c r="BJ4" s="68"/>
      <c r="BK4" s="165" t="e">
        <f>WEEKDAY([8]!Sheet_1_Table_1_13[[#This Row],[Lesson 6
Date 
(DD-MMM-YYYY)]])</f>
        <v>#REF!</v>
      </c>
      <c r="BL4" s="204"/>
      <c r="BM4" s="205"/>
      <c r="BN4" s="205"/>
      <c r="BO4" s="550" t="s">
        <v>163</v>
      </c>
      <c r="BP4" s="633" t="s">
        <v>164</v>
      </c>
      <c r="BQ4" s="634" t="s">
        <v>165</v>
      </c>
      <c r="BR4" s="635" t="s">
        <v>166</v>
      </c>
      <c r="BS4" s="52"/>
      <c r="BT4" s="209"/>
      <c r="BU4" s="201"/>
      <c r="BV4" s="70"/>
      <c r="BW4" s="60"/>
      <c r="BX4" s="71"/>
      <c r="BY4" s="210" t="s">
        <v>149</v>
      </c>
      <c r="BZ4" s="210"/>
      <c r="CA4" s="210" t="s">
        <v>149</v>
      </c>
      <c r="CB4" s="212"/>
      <c r="CC4" s="212"/>
      <c r="CD4" s="213"/>
      <c r="CE4" s="60" t="s">
        <v>150</v>
      </c>
      <c r="CF4" s="164" t="s">
        <v>151</v>
      </c>
      <c r="CG4" s="56" t="s">
        <v>152</v>
      </c>
      <c r="CH4" s="291" t="s">
        <v>153</v>
      </c>
      <c r="CI4" s="52" t="s">
        <v>146</v>
      </c>
      <c r="CJ4" s="52" t="s">
        <v>142</v>
      </c>
      <c r="CK4" s="52" t="s">
        <v>142</v>
      </c>
      <c r="CL4" s="52" t="s">
        <v>142</v>
      </c>
      <c r="CM4" s="52" t="s">
        <v>142</v>
      </c>
      <c r="CN4" s="52" t="s">
        <v>142</v>
      </c>
      <c r="CO4" s="52" t="s">
        <v>142</v>
      </c>
      <c r="CP4" s="52" t="s">
        <v>142</v>
      </c>
      <c r="CQ4" s="52" t="s">
        <v>142</v>
      </c>
      <c r="CR4" s="52" t="s">
        <v>142</v>
      </c>
      <c r="CS4" s="52" t="s">
        <v>146</v>
      </c>
      <c r="CT4" s="52" t="s">
        <v>146</v>
      </c>
      <c r="CU4" s="52" t="s">
        <v>142</v>
      </c>
      <c r="CV4" s="52" t="s">
        <v>142</v>
      </c>
      <c r="CW4" s="52" t="s">
        <v>142</v>
      </c>
      <c r="CX4" s="52" t="s">
        <v>142</v>
      </c>
      <c r="CY4" s="52" t="s">
        <v>142</v>
      </c>
      <c r="CZ4" s="52" t="s">
        <v>146</v>
      </c>
      <c r="DA4" s="54" t="s">
        <v>154</v>
      </c>
      <c r="DB4" s="50" t="s">
        <v>155</v>
      </c>
      <c r="DC4" s="50" t="s">
        <v>156</v>
      </c>
      <c r="DD4" s="50" t="s">
        <v>146</v>
      </c>
      <c r="DE4" s="50" t="s">
        <v>157</v>
      </c>
      <c r="DF4" s="50" t="s">
        <v>146</v>
      </c>
      <c r="DG4" s="216"/>
      <c r="DH4" s="216"/>
      <c r="DI4" s="74"/>
      <c r="DJ4" s="75"/>
      <c r="DK4" s="217" t="s">
        <v>146</v>
      </c>
      <c r="DL4" s="217" t="s">
        <v>146</v>
      </c>
      <c r="DM4" s="217" t="s">
        <v>146</v>
      </c>
      <c r="DN4" s="790"/>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66.5" customHeight="1">
      <c r="A5" s="48">
        <v>3</v>
      </c>
      <c r="B5" s="49">
        <v>202609</v>
      </c>
      <c r="C5" s="50" t="s">
        <v>167</v>
      </c>
      <c r="D5" s="50" t="s">
        <v>133</v>
      </c>
      <c r="E5" s="198">
        <v>5644</v>
      </c>
      <c r="F5" s="52" t="s">
        <v>134</v>
      </c>
      <c r="G5" s="53" t="s">
        <v>135</v>
      </c>
      <c r="H5" s="628" t="s">
        <v>136</v>
      </c>
      <c r="I5" s="331" t="s">
        <v>137</v>
      </c>
      <c r="J5" s="629" t="s">
        <v>168</v>
      </c>
      <c r="K5" s="628" t="s">
        <v>169</v>
      </c>
      <c r="L5" s="331"/>
      <c r="M5" s="630" t="s">
        <v>170</v>
      </c>
      <c r="N5" s="630" t="s">
        <v>171</v>
      </c>
      <c r="O5" s="632" t="s">
        <v>142</v>
      </c>
      <c r="P5" s="632" t="s">
        <v>142</v>
      </c>
      <c r="Q5" s="636" t="s">
        <v>143</v>
      </c>
      <c r="R5" s="77" t="str">
        <f>VLOOKUP(Sheet_1_Table_1_137[[#This Row],[Learning Domain]],[7]List!$A$7:$B$12,2,0)</f>
        <v>CELD</v>
      </c>
      <c r="S5" s="55">
        <v>80</v>
      </c>
      <c r="T5" s="55">
        <v>0</v>
      </c>
      <c r="U5" s="55">
        <v>0</v>
      </c>
      <c r="V5" s="55">
        <v>0</v>
      </c>
      <c r="W5" s="55">
        <v>0</v>
      </c>
      <c r="X5" s="55">
        <v>0</v>
      </c>
      <c r="Y5" s="55">
        <v>20</v>
      </c>
      <c r="Z5" s="55">
        <v>0</v>
      </c>
      <c r="AA5" s="55">
        <v>0</v>
      </c>
      <c r="AB5" s="53">
        <f>SUM(Sheet_1_Table_1_137[[#This Row],[Leadership LS]:[Career Development  CR]])</f>
        <v>100</v>
      </c>
      <c r="AC5" s="52" t="s">
        <v>144</v>
      </c>
      <c r="AD5" s="201" t="s">
        <v>145</v>
      </c>
      <c r="AE5" s="201" t="s">
        <v>142</v>
      </c>
      <c r="AF5" s="201" t="s">
        <v>146</v>
      </c>
      <c r="AG5" s="201" t="s">
        <v>142</v>
      </c>
      <c r="AH5" s="201">
        <v>1</v>
      </c>
      <c r="AI5" s="55">
        <v>70</v>
      </c>
      <c r="AJ5" s="202">
        <f>Sheet_1_Table_1_137[[#This Row],[ILP Units Per Session]]*Sheet_1_Table_1_137[[#This Row],[Quota]]</f>
        <v>70</v>
      </c>
      <c r="AK5" s="203">
        <v>46281</v>
      </c>
      <c r="AL5" s="332">
        <f>WEEKDAY(Sheet_1_Table_1_137[[#This Row],[Lesson 1 
Date 
(DD-MMM-YYYY)]])</f>
        <v>4</v>
      </c>
      <c r="AM5" s="65">
        <v>0.66666666666666663</v>
      </c>
      <c r="AN5" s="66">
        <v>0.70833333333333337</v>
      </c>
      <c r="AO5" s="207" t="s">
        <v>147</v>
      </c>
      <c r="AP5" s="68"/>
      <c r="AQ5" s="64">
        <f>WEEKDAY(Sheet_1_Table_1_137[[#This Row],[Lesson 1 
Date 
(DD-MMM-YYYY)]])</f>
        <v>4</v>
      </c>
      <c r="AR5" s="65"/>
      <c r="AS5" s="66"/>
      <c r="AT5" s="66"/>
      <c r="AU5" s="203"/>
      <c r="AV5" s="165" t="e">
        <f>WEEKDAY([8]!Sheet_1_Table_1_13[[#This Row],[Lesson 3
Date 
(DD-MMM-YYYY)]])</f>
        <v>#REF!</v>
      </c>
      <c r="AW5" s="204"/>
      <c r="AX5" s="205"/>
      <c r="AY5" s="207"/>
      <c r="AZ5" s="68"/>
      <c r="BA5" s="64" t="e">
        <f>WEEKDAY([8]!Sheet_1_Table_1_13[[#This Row],[Lesson 4
Date 
(DD-MMM-YYYY)]])</f>
        <v>#REF!</v>
      </c>
      <c r="BB5" s="65"/>
      <c r="BC5" s="66"/>
      <c r="BD5" s="66"/>
      <c r="BE5" s="203"/>
      <c r="BF5" s="165" t="e">
        <f>WEEKDAY([8]!Sheet_1_Table_1_13[[#This Row],[Lesson 5
Date 
(DD-MMM-YYYY)]])</f>
        <v>#REF!</v>
      </c>
      <c r="BG5" s="204"/>
      <c r="BH5" s="205"/>
      <c r="BI5" s="207"/>
      <c r="BJ5" s="68"/>
      <c r="BK5" s="165" t="e">
        <f>WEEKDAY([8]!Sheet_1_Table_1_13[[#This Row],[Lesson 6
Date 
(DD-MMM-YYYY)]])</f>
        <v>#REF!</v>
      </c>
      <c r="BL5" s="204"/>
      <c r="BM5" s="205"/>
      <c r="BN5" s="205"/>
      <c r="BO5" s="637"/>
      <c r="BP5" s="638"/>
      <c r="BQ5" s="639"/>
      <c r="BR5" s="640" t="s">
        <v>172</v>
      </c>
      <c r="BS5" s="52"/>
      <c r="BT5" s="209"/>
      <c r="BU5" s="201"/>
      <c r="BV5" s="70"/>
      <c r="BW5" s="60"/>
      <c r="BX5" s="71"/>
      <c r="BY5" s="210" t="s">
        <v>149</v>
      </c>
      <c r="BZ5" s="210"/>
      <c r="CA5" s="210" t="s">
        <v>149</v>
      </c>
      <c r="CB5" s="212"/>
      <c r="CC5" s="212"/>
      <c r="CD5" s="213"/>
      <c r="CE5" s="60" t="s">
        <v>150</v>
      </c>
      <c r="CF5" s="164" t="s">
        <v>151</v>
      </c>
      <c r="CG5" s="56" t="s">
        <v>152</v>
      </c>
      <c r="CH5" s="291" t="s">
        <v>153</v>
      </c>
      <c r="CI5" s="52" t="s">
        <v>146</v>
      </c>
      <c r="CJ5" s="52" t="s">
        <v>142</v>
      </c>
      <c r="CK5" s="52" t="s">
        <v>142</v>
      </c>
      <c r="CL5" s="52" t="s">
        <v>142</v>
      </c>
      <c r="CM5" s="52" t="s">
        <v>146</v>
      </c>
      <c r="CN5" s="52" t="s">
        <v>142</v>
      </c>
      <c r="CO5" s="52" t="s">
        <v>142</v>
      </c>
      <c r="CP5" s="52" t="s">
        <v>142</v>
      </c>
      <c r="CQ5" s="52" t="s">
        <v>142</v>
      </c>
      <c r="CR5" s="52" t="s">
        <v>142</v>
      </c>
      <c r="CS5" s="52" t="s">
        <v>146</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216"/>
      <c r="DH5" s="216"/>
      <c r="DI5" s="74"/>
      <c r="DJ5" s="75"/>
      <c r="DK5" s="217" t="s">
        <v>146</v>
      </c>
      <c r="DL5" s="217" t="s">
        <v>146</v>
      </c>
      <c r="DM5" s="217" t="s">
        <v>146</v>
      </c>
      <c r="DN5" s="790"/>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26">
      <c r="A6" s="48">
        <v>4</v>
      </c>
      <c r="B6" s="49">
        <v>202609</v>
      </c>
      <c r="C6" s="50" t="s">
        <v>173</v>
      </c>
      <c r="D6" s="50" t="s">
        <v>174</v>
      </c>
      <c r="E6" s="51">
        <v>5645</v>
      </c>
      <c r="F6" s="52" t="s">
        <v>134</v>
      </c>
      <c r="G6" s="53" t="s">
        <v>135</v>
      </c>
      <c r="H6" s="335" t="s">
        <v>175</v>
      </c>
      <c r="I6" s="336" t="s">
        <v>176</v>
      </c>
      <c r="J6" s="629" t="s">
        <v>177</v>
      </c>
      <c r="K6" s="628" t="s">
        <v>178</v>
      </c>
      <c r="L6" s="331"/>
      <c r="M6" s="630" t="s">
        <v>179</v>
      </c>
      <c r="N6" s="630" t="s">
        <v>180</v>
      </c>
      <c r="O6" s="641" t="s">
        <v>146</v>
      </c>
      <c r="P6" s="642" t="s">
        <v>146</v>
      </c>
      <c r="Q6" s="636" t="s">
        <v>143</v>
      </c>
      <c r="R6" s="61" t="str">
        <f>VLOOKUP(Sheet_1_Table_1_137[[#This Row],[Learning Domain]],[7]List!$A$7:$B$12,2,0)</f>
        <v>CELD</v>
      </c>
      <c r="S6" s="55">
        <v>70</v>
      </c>
      <c r="T6" s="55">
        <v>0</v>
      </c>
      <c r="U6" s="55">
        <v>0</v>
      </c>
      <c r="V6" s="55">
        <v>0</v>
      </c>
      <c r="W6" s="55">
        <v>0</v>
      </c>
      <c r="X6" s="55">
        <v>20</v>
      </c>
      <c r="Y6" s="55">
        <v>10</v>
      </c>
      <c r="Z6" s="55">
        <v>0</v>
      </c>
      <c r="AA6" s="55">
        <v>0</v>
      </c>
      <c r="AB6" s="53">
        <f>SUM(Sheet_1_Table_1_137[[#This Row],[Leadership LS]:[Career Development  CR]])</f>
        <v>100</v>
      </c>
      <c r="AC6" s="52" t="s">
        <v>144</v>
      </c>
      <c r="AD6" s="55" t="s">
        <v>181</v>
      </c>
      <c r="AE6" s="55" t="s">
        <v>146</v>
      </c>
      <c r="AF6" s="55" t="s">
        <v>142</v>
      </c>
      <c r="AG6" s="55" t="s">
        <v>142</v>
      </c>
      <c r="AH6" s="55">
        <v>1.5</v>
      </c>
      <c r="AI6" s="55">
        <v>100</v>
      </c>
      <c r="AJ6" s="62">
        <f>Sheet_1_Table_1_137[[#This Row],[ILP Units Per Session]]*Sheet_1_Table_1_137[[#This Row],[Quota]]</f>
        <v>150</v>
      </c>
      <c r="AK6" s="63">
        <v>46304</v>
      </c>
      <c r="AL6" s="334">
        <f>WEEKDAY(Sheet_1_Table_1_137[[#This Row],[Lesson 1 
Date 
(DD-MMM-YYYY)]])</f>
        <v>6</v>
      </c>
      <c r="AM6" s="65">
        <v>0.66666666666666663</v>
      </c>
      <c r="AN6" s="66">
        <v>0.72916666666666663</v>
      </c>
      <c r="AO6" s="67" t="s">
        <v>182</v>
      </c>
      <c r="AP6" s="68"/>
      <c r="AQ6" s="64">
        <f>WEEKDAY(Sheet_1_Table_1_137[[#This Row],[Lesson 1 
Date 
(DD-MMM-YYYY)]])</f>
        <v>6</v>
      </c>
      <c r="AR6" s="65"/>
      <c r="AS6" s="66"/>
      <c r="AT6" s="66"/>
      <c r="AU6" s="63"/>
      <c r="AV6" s="64" t="e">
        <f>WEEKDAY([8]!Sheet_1_Table_1_13[[#This Row],[Lesson 3
Date 
(DD-MMM-YYYY)]])</f>
        <v>#REF!</v>
      </c>
      <c r="AW6" s="65"/>
      <c r="AX6" s="66"/>
      <c r="AY6" s="67"/>
      <c r="AZ6" s="68"/>
      <c r="BA6" s="64" t="e">
        <f>WEEKDAY([8]!Sheet_1_Table_1_13[[#This Row],[Lesson 4
Date 
(DD-MMM-YYYY)]])</f>
        <v>#REF!</v>
      </c>
      <c r="BB6" s="65"/>
      <c r="BC6" s="66"/>
      <c r="BD6" s="66"/>
      <c r="BE6" s="63"/>
      <c r="BF6" s="64" t="e">
        <f>WEEKDAY([8]!Sheet_1_Table_1_13[[#This Row],[Lesson 5
Date 
(DD-MMM-YYYY)]])</f>
        <v>#REF!</v>
      </c>
      <c r="BG6" s="65"/>
      <c r="BH6" s="66"/>
      <c r="BI6" s="67"/>
      <c r="BJ6" s="68"/>
      <c r="BK6" s="64" t="e">
        <f>WEEKDAY([8]!Sheet_1_Table_1_13[[#This Row],[Lesson 6
Date 
(DD-MMM-YYYY)]])</f>
        <v>#REF!</v>
      </c>
      <c r="BL6" s="65"/>
      <c r="BM6" s="66"/>
      <c r="BN6" s="66"/>
      <c r="BO6" s="54"/>
      <c r="BP6" s="69"/>
      <c r="BQ6" s="69"/>
      <c r="BR6" s="640" t="s">
        <v>183</v>
      </c>
      <c r="BS6" s="52"/>
      <c r="BT6" s="56"/>
      <c r="BU6" s="56"/>
      <c r="BV6" s="70"/>
      <c r="BW6" s="60"/>
      <c r="BX6" s="71"/>
      <c r="BY6" s="56" t="s">
        <v>184</v>
      </c>
      <c r="BZ6" s="56"/>
      <c r="CA6" s="56" t="s">
        <v>184</v>
      </c>
      <c r="CB6" s="72"/>
      <c r="CC6" s="72"/>
      <c r="CD6" s="71"/>
      <c r="CE6" s="60" t="s">
        <v>150</v>
      </c>
      <c r="CF6" s="164" t="s">
        <v>151</v>
      </c>
      <c r="CG6" s="56" t="s">
        <v>152</v>
      </c>
      <c r="CH6" s="291" t="s">
        <v>153</v>
      </c>
      <c r="CI6" s="52" t="s">
        <v>146</v>
      </c>
      <c r="CJ6" s="52" t="s">
        <v>146</v>
      </c>
      <c r="CK6" s="52" t="s">
        <v>142</v>
      </c>
      <c r="CL6" s="52" t="s">
        <v>146</v>
      </c>
      <c r="CM6" s="52" t="s">
        <v>142</v>
      </c>
      <c r="CN6" s="52" t="s">
        <v>142</v>
      </c>
      <c r="CO6" s="52" t="s">
        <v>142</v>
      </c>
      <c r="CP6" s="52" t="s">
        <v>142</v>
      </c>
      <c r="CQ6" s="52" t="s">
        <v>142</v>
      </c>
      <c r="CR6" s="52" t="s">
        <v>142</v>
      </c>
      <c r="CS6" s="52" t="s">
        <v>146</v>
      </c>
      <c r="CT6" s="52" t="s">
        <v>146</v>
      </c>
      <c r="CU6" s="52" t="s">
        <v>142</v>
      </c>
      <c r="CV6" s="52" t="s">
        <v>142</v>
      </c>
      <c r="CW6" s="52" t="s">
        <v>142</v>
      </c>
      <c r="CX6" s="52" t="s">
        <v>142</v>
      </c>
      <c r="CY6" s="52" t="s">
        <v>142</v>
      </c>
      <c r="CZ6" s="52" t="s">
        <v>146</v>
      </c>
      <c r="DA6" s="54" t="s">
        <v>154</v>
      </c>
      <c r="DB6" s="50" t="s">
        <v>155</v>
      </c>
      <c r="DC6" s="50" t="s">
        <v>156</v>
      </c>
      <c r="DD6" s="50" t="s">
        <v>146</v>
      </c>
      <c r="DE6" s="50" t="s">
        <v>157</v>
      </c>
      <c r="DF6" s="50" t="s">
        <v>146</v>
      </c>
      <c r="DG6" s="73"/>
      <c r="DH6" s="73"/>
      <c r="DI6" s="74"/>
      <c r="DJ6" s="75"/>
      <c r="DK6" s="76" t="s">
        <v>146</v>
      </c>
      <c r="DL6" s="76" t="s">
        <v>146</v>
      </c>
      <c r="DM6" s="76" t="s">
        <v>146</v>
      </c>
      <c r="DN6" s="790"/>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63">
      <c r="A7" s="48">
        <v>5</v>
      </c>
      <c r="B7" s="49">
        <v>202609</v>
      </c>
      <c r="C7" s="50" t="s">
        <v>185</v>
      </c>
      <c r="D7" s="50" t="s">
        <v>174</v>
      </c>
      <c r="E7" s="51">
        <v>5646</v>
      </c>
      <c r="F7" s="52" t="s">
        <v>134</v>
      </c>
      <c r="G7" s="53" t="s">
        <v>135</v>
      </c>
      <c r="H7" s="337" t="s">
        <v>175</v>
      </c>
      <c r="I7" s="331" t="s">
        <v>176</v>
      </c>
      <c r="J7" s="629" t="s">
        <v>186</v>
      </c>
      <c r="K7" s="628" t="s">
        <v>187</v>
      </c>
      <c r="L7" s="331"/>
      <c r="M7" s="630" t="s">
        <v>188</v>
      </c>
      <c r="N7" s="630" t="s">
        <v>189</v>
      </c>
      <c r="O7" s="338" t="s">
        <v>146</v>
      </c>
      <c r="P7" s="339" t="s">
        <v>146</v>
      </c>
      <c r="Q7" s="340" t="s">
        <v>143</v>
      </c>
      <c r="R7" s="77" t="str">
        <f>VLOOKUP(Sheet_1_Table_1_137[[#This Row],[Learning Domain]],[7]List!$A$7:$B$12,2,0)</f>
        <v>CELD</v>
      </c>
      <c r="S7" s="55">
        <v>100</v>
      </c>
      <c r="T7" s="55">
        <v>0</v>
      </c>
      <c r="U7" s="55">
        <v>0</v>
      </c>
      <c r="V7" s="55">
        <v>0</v>
      </c>
      <c r="W7" s="55">
        <v>0</v>
      </c>
      <c r="X7" s="55">
        <v>0</v>
      </c>
      <c r="Y7" s="55">
        <v>0</v>
      </c>
      <c r="Z7" s="55">
        <v>0</v>
      </c>
      <c r="AA7" s="55">
        <v>0</v>
      </c>
      <c r="AB7" s="53">
        <f>SUM(Sheet_1_Table_1_137[[#This Row],[Leadership LS]:[Career Development  CR]])</f>
        <v>100</v>
      </c>
      <c r="AC7" s="52" t="s">
        <v>144</v>
      </c>
      <c r="AD7" s="55" t="s">
        <v>190</v>
      </c>
      <c r="AE7" s="55" t="s">
        <v>142</v>
      </c>
      <c r="AF7" s="55" t="s">
        <v>146</v>
      </c>
      <c r="AG7" s="55" t="s">
        <v>142</v>
      </c>
      <c r="AH7" s="55">
        <v>1</v>
      </c>
      <c r="AI7" s="55">
        <v>80</v>
      </c>
      <c r="AJ7" s="62">
        <f>Sheet_1_Table_1_137[[#This Row],[ILP Units Per Session]]*Sheet_1_Table_1_137[[#This Row],[Quota]]</f>
        <v>80</v>
      </c>
      <c r="AK7" s="63">
        <v>46300</v>
      </c>
      <c r="AL7" s="332">
        <f>WEEKDAY(Sheet_1_Table_1_137[[#This Row],[Lesson 1 
Date 
(DD-MMM-YYYY)]])</f>
        <v>2</v>
      </c>
      <c r="AM7" s="65">
        <v>0.66666666666666663</v>
      </c>
      <c r="AN7" s="66">
        <v>0.70833333333333337</v>
      </c>
      <c r="AO7" s="67" t="s">
        <v>191</v>
      </c>
      <c r="AP7" s="68"/>
      <c r="AQ7" s="64">
        <f>WEEKDAY(Sheet_1_Table_1_137[[#This Row],[Lesson 1 
Date 
(DD-MMM-YYYY)]])</f>
        <v>2</v>
      </c>
      <c r="AR7" s="65"/>
      <c r="AS7" s="66"/>
      <c r="AT7" s="66"/>
      <c r="AU7" s="63"/>
      <c r="AV7" s="64" t="e">
        <f>WEEKDAY([8]!Sheet_1_Table_1_13[[#This Row],[Lesson 3
Date 
(DD-MMM-YYYY)]])</f>
        <v>#REF!</v>
      </c>
      <c r="AW7" s="65"/>
      <c r="AX7" s="66"/>
      <c r="AY7" s="67"/>
      <c r="AZ7" s="68"/>
      <c r="BA7" s="64" t="e">
        <f>WEEKDAY([8]!Sheet_1_Table_1_13[[#This Row],[Lesson 4
Date 
(DD-MMM-YYYY)]])</f>
        <v>#REF!</v>
      </c>
      <c r="BB7" s="65"/>
      <c r="BC7" s="66"/>
      <c r="BD7" s="66"/>
      <c r="BE7" s="63"/>
      <c r="BF7" s="64" t="e">
        <f>WEEKDAY([8]!Sheet_1_Table_1_13[[#This Row],[Lesson 5
Date 
(DD-MMM-YYYY)]])</f>
        <v>#REF!</v>
      </c>
      <c r="BG7" s="65"/>
      <c r="BH7" s="66"/>
      <c r="BI7" s="67"/>
      <c r="BJ7" s="68"/>
      <c r="BK7" s="64" t="e">
        <f>WEEKDAY([8]!Sheet_1_Table_1_13[[#This Row],[Lesson 6
Date 
(DD-MMM-YYYY)]])</f>
        <v>#REF!</v>
      </c>
      <c r="BL7" s="65"/>
      <c r="BM7" s="66"/>
      <c r="BN7" s="66"/>
      <c r="BO7" s="54"/>
      <c r="BP7" s="69"/>
      <c r="BQ7" s="69"/>
      <c r="BR7" s="635" t="s">
        <v>192</v>
      </c>
      <c r="BS7" s="52"/>
      <c r="BT7" s="56"/>
      <c r="BU7" s="56"/>
      <c r="BV7" s="70"/>
      <c r="BW7" s="60"/>
      <c r="BX7" s="71"/>
      <c r="BY7" s="56" t="s">
        <v>184</v>
      </c>
      <c r="BZ7" s="56"/>
      <c r="CA7" s="56" t="s">
        <v>184</v>
      </c>
      <c r="CB7" s="72"/>
      <c r="CC7" s="72"/>
      <c r="CD7" s="71"/>
      <c r="CE7" s="60" t="s">
        <v>150</v>
      </c>
      <c r="CF7" s="164" t="s">
        <v>151</v>
      </c>
      <c r="CG7" s="56" t="s">
        <v>152</v>
      </c>
      <c r="CH7" s="291" t="s">
        <v>153</v>
      </c>
      <c r="CI7" s="52" t="s">
        <v>146</v>
      </c>
      <c r="CJ7" s="52" t="s">
        <v>142</v>
      </c>
      <c r="CK7" s="52" t="s">
        <v>142</v>
      </c>
      <c r="CL7" s="52" t="s">
        <v>142</v>
      </c>
      <c r="CM7" s="52" t="s">
        <v>146</v>
      </c>
      <c r="CN7" s="52" t="s">
        <v>142</v>
      </c>
      <c r="CO7" s="52" t="s">
        <v>142</v>
      </c>
      <c r="CP7" s="52" t="s">
        <v>142</v>
      </c>
      <c r="CQ7" s="52" t="s">
        <v>142</v>
      </c>
      <c r="CR7" s="52" t="s">
        <v>142</v>
      </c>
      <c r="CS7" s="52" t="s">
        <v>142</v>
      </c>
      <c r="CT7" s="52" t="s">
        <v>142</v>
      </c>
      <c r="CU7" s="52" t="s">
        <v>142</v>
      </c>
      <c r="CV7" s="52" t="s">
        <v>142</v>
      </c>
      <c r="CW7" s="52" t="s">
        <v>142</v>
      </c>
      <c r="CX7" s="52" t="s">
        <v>142</v>
      </c>
      <c r="CY7" s="52" t="s">
        <v>142</v>
      </c>
      <c r="CZ7" s="52" t="s">
        <v>146</v>
      </c>
      <c r="DA7" s="54" t="s">
        <v>154</v>
      </c>
      <c r="DB7" s="50" t="s">
        <v>155</v>
      </c>
      <c r="DC7" s="50" t="s">
        <v>156</v>
      </c>
      <c r="DD7" s="50" t="s">
        <v>146</v>
      </c>
      <c r="DE7" s="50" t="s">
        <v>157</v>
      </c>
      <c r="DF7" s="50" t="s">
        <v>146</v>
      </c>
      <c r="DG7" s="73"/>
      <c r="DH7" s="73"/>
      <c r="DI7" s="74"/>
      <c r="DJ7" s="75"/>
      <c r="DK7" s="76" t="s">
        <v>146</v>
      </c>
      <c r="DL7" s="76" t="s">
        <v>146</v>
      </c>
      <c r="DM7" s="76" t="s">
        <v>146</v>
      </c>
      <c r="DN7" s="790"/>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120">
      <c r="A8" s="48">
        <v>6</v>
      </c>
      <c r="B8" s="49">
        <v>202609</v>
      </c>
      <c r="C8" s="50" t="s">
        <v>193</v>
      </c>
      <c r="D8" s="50" t="s">
        <v>194</v>
      </c>
      <c r="E8" s="51">
        <v>5647</v>
      </c>
      <c r="F8" s="52" t="s">
        <v>134</v>
      </c>
      <c r="G8" s="53" t="s">
        <v>135</v>
      </c>
      <c r="H8" s="633" t="s">
        <v>175</v>
      </c>
      <c r="I8" s="331" t="s">
        <v>176</v>
      </c>
      <c r="J8" s="629" t="s">
        <v>195</v>
      </c>
      <c r="K8" s="628" t="s">
        <v>196</v>
      </c>
      <c r="L8" s="331"/>
      <c r="M8" s="630" t="s">
        <v>197</v>
      </c>
      <c r="N8" s="630" t="s">
        <v>198</v>
      </c>
      <c r="O8" s="341" t="s">
        <v>146</v>
      </c>
      <c r="P8" s="342" t="s">
        <v>146</v>
      </c>
      <c r="Q8" s="636" t="s">
        <v>143</v>
      </c>
      <c r="R8" s="77" t="str">
        <f>VLOOKUP(Sheet_1_Table_1_137[[#This Row],[Learning Domain]],[7]List!$A$7:$B$12,2,0)</f>
        <v>CELD</v>
      </c>
      <c r="S8" s="55">
        <v>80</v>
      </c>
      <c r="T8" s="55">
        <v>0</v>
      </c>
      <c r="U8" s="55">
        <v>0</v>
      </c>
      <c r="V8" s="55">
        <v>20</v>
      </c>
      <c r="W8" s="55">
        <v>0</v>
      </c>
      <c r="X8" s="55">
        <v>0</v>
      </c>
      <c r="Y8" s="55">
        <v>0</v>
      </c>
      <c r="Z8" s="55">
        <v>0</v>
      </c>
      <c r="AA8" s="55">
        <v>0</v>
      </c>
      <c r="AB8" s="53">
        <f>SUM(Sheet_1_Table_1_137[[#This Row],[Leadership LS]:[Career Development  CR]])</f>
        <v>100</v>
      </c>
      <c r="AC8" s="52" t="s">
        <v>199</v>
      </c>
      <c r="AD8" s="55" t="s">
        <v>145</v>
      </c>
      <c r="AE8" s="55" t="s">
        <v>142</v>
      </c>
      <c r="AF8" s="55" t="s">
        <v>146</v>
      </c>
      <c r="AG8" s="55" t="s">
        <v>142</v>
      </c>
      <c r="AH8" s="55">
        <v>6</v>
      </c>
      <c r="AI8" s="55">
        <v>25</v>
      </c>
      <c r="AJ8" s="62">
        <f>Sheet_1_Table_1_137[[#This Row],[ILP Units Per Session]]*Sheet_1_Table_1_137[[#This Row],[Quota]]</f>
        <v>150</v>
      </c>
      <c r="AK8" s="63">
        <v>46301</v>
      </c>
      <c r="AL8" s="334">
        <f ca="1">WEEKDAY(AL8)</f>
        <v>0</v>
      </c>
      <c r="AM8" s="65">
        <v>0.72916666666666663</v>
      </c>
      <c r="AN8" s="66">
        <v>0.8125</v>
      </c>
      <c r="AO8" s="67" t="s">
        <v>191</v>
      </c>
      <c r="AP8" s="63">
        <v>46308</v>
      </c>
      <c r="AQ8" s="64">
        <f>WEEKDAY(AP8)</f>
        <v>3</v>
      </c>
      <c r="AR8" s="65">
        <v>0.72916666666666663</v>
      </c>
      <c r="AS8" s="66">
        <v>0.8125</v>
      </c>
      <c r="AT8" s="66" t="s">
        <v>191</v>
      </c>
      <c r="AU8" s="63">
        <v>46322</v>
      </c>
      <c r="AV8" s="64">
        <f>WEEKDAY(AU8)</f>
        <v>3</v>
      </c>
      <c r="AW8" s="65">
        <v>0.58333333333333337</v>
      </c>
      <c r="AX8" s="66">
        <v>0.66666666666666663</v>
      </c>
      <c r="AY8" s="67" t="s">
        <v>200</v>
      </c>
      <c r="AZ8" s="68"/>
      <c r="BA8" s="64" t="e">
        <f>WEEKDAY([8]!Sheet_1_Table_1_13[[#This Row],[Lesson 4
Date 
(DD-MMM-YYYY)]])</f>
        <v>#REF!</v>
      </c>
      <c r="BB8" s="65"/>
      <c r="BC8" s="66"/>
      <c r="BD8" s="66"/>
      <c r="BE8" s="63"/>
      <c r="BF8" s="165" t="e">
        <f>WEEKDAY([8]!Sheet_1_Table_1_13[[#This Row],[Lesson 5
Date 
(DD-MMM-YYYY)]])</f>
        <v>#REF!</v>
      </c>
      <c r="BG8" s="65"/>
      <c r="BH8" s="66"/>
      <c r="BI8" s="67"/>
      <c r="BJ8" s="68"/>
      <c r="BK8" s="165" t="e">
        <f>WEEKDAY([8]!Sheet_1_Table_1_13[[#This Row],[Lesson 6
Date 
(DD-MMM-YYYY)]])</f>
        <v>#REF!</v>
      </c>
      <c r="BL8" s="65"/>
      <c r="BM8" s="66"/>
      <c r="BN8" s="66"/>
      <c r="BO8" s="54"/>
      <c r="BP8" s="69"/>
      <c r="BQ8" s="69"/>
      <c r="BR8" s="635" t="s">
        <v>201</v>
      </c>
      <c r="BS8" s="52"/>
      <c r="BT8" s="56"/>
      <c r="BU8" s="56"/>
      <c r="BV8" s="70"/>
      <c r="BW8" s="60"/>
      <c r="BX8" s="71"/>
      <c r="BY8" s="343" t="s">
        <v>202</v>
      </c>
      <c r="BZ8" s="343" t="s">
        <v>202</v>
      </c>
      <c r="CA8" s="56" t="s">
        <v>203</v>
      </c>
      <c r="CB8" s="72"/>
      <c r="CC8" s="72"/>
      <c r="CD8" s="71"/>
      <c r="CE8" s="60" t="s">
        <v>150</v>
      </c>
      <c r="CF8" s="164" t="s">
        <v>151</v>
      </c>
      <c r="CG8" s="56" t="s">
        <v>152</v>
      </c>
      <c r="CH8" s="291" t="s">
        <v>153</v>
      </c>
      <c r="CI8" s="52" t="s">
        <v>146</v>
      </c>
      <c r="CJ8" s="52" t="s">
        <v>142</v>
      </c>
      <c r="CK8" s="52" t="s">
        <v>142</v>
      </c>
      <c r="CL8" s="52" t="s">
        <v>142</v>
      </c>
      <c r="CM8" s="52" t="s">
        <v>146</v>
      </c>
      <c r="CN8" s="52" t="s">
        <v>142</v>
      </c>
      <c r="CO8" s="52" t="s">
        <v>142</v>
      </c>
      <c r="CP8" s="52" t="s">
        <v>142</v>
      </c>
      <c r="CQ8" s="52" t="s">
        <v>142</v>
      </c>
      <c r="CR8" s="52" t="s">
        <v>142</v>
      </c>
      <c r="CS8" s="52" t="s">
        <v>146</v>
      </c>
      <c r="CT8" s="52" t="s">
        <v>146</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N8" s="790"/>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169.5" customHeight="1">
      <c r="A9" s="48">
        <v>7</v>
      </c>
      <c r="B9" s="49">
        <v>202609</v>
      </c>
      <c r="C9" s="50" t="s">
        <v>204</v>
      </c>
      <c r="D9" s="50" t="s">
        <v>205</v>
      </c>
      <c r="E9" s="51">
        <v>5648</v>
      </c>
      <c r="F9" s="52" t="s">
        <v>134</v>
      </c>
      <c r="G9" s="53" t="s">
        <v>135</v>
      </c>
      <c r="H9" s="344" t="s">
        <v>175</v>
      </c>
      <c r="I9" s="331" t="s">
        <v>176</v>
      </c>
      <c r="J9" s="629" t="s">
        <v>206</v>
      </c>
      <c r="K9" s="628" t="s">
        <v>207</v>
      </c>
      <c r="L9" s="331"/>
      <c r="M9" s="630" t="s">
        <v>208</v>
      </c>
      <c r="N9" s="635" t="s">
        <v>209</v>
      </c>
      <c r="O9" s="341" t="s">
        <v>146</v>
      </c>
      <c r="P9" s="342" t="s">
        <v>146</v>
      </c>
      <c r="Q9" s="643" t="s">
        <v>143</v>
      </c>
      <c r="R9" s="61" t="str">
        <f>VLOOKUP(Sheet_1_Table_1_137[[#This Row],[Learning Domain]],[7]List!$A$7:$B$12,2,0)</f>
        <v>CELD</v>
      </c>
      <c r="S9" s="55">
        <v>50</v>
      </c>
      <c r="T9" s="55">
        <v>0</v>
      </c>
      <c r="U9" s="55">
        <v>0</v>
      </c>
      <c r="V9" s="55">
        <v>50</v>
      </c>
      <c r="W9" s="55">
        <v>0</v>
      </c>
      <c r="X9" s="55">
        <v>0</v>
      </c>
      <c r="Y9" s="55">
        <v>0</v>
      </c>
      <c r="Z9" s="55">
        <v>0</v>
      </c>
      <c r="AA9" s="55">
        <v>0</v>
      </c>
      <c r="AB9" s="53">
        <f>SUM(Sheet_1_Table_1_137[[#This Row],[Leadership LS]:[Career Development  CR]])</f>
        <v>100</v>
      </c>
      <c r="AC9" s="52" t="s">
        <v>199</v>
      </c>
      <c r="AD9" s="55" t="s">
        <v>190</v>
      </c>
      <c r="AE9" s="55" t="s">
        <v>142</v>
      </c>
      <c r="AF9" s="55" t="s">
        <v>146</v>
      </c>
      <c r="AG9" s="55" t="s">
        <v>142</v>
      </c>
      <c r="AH9" s="55">
        <v>2</v>
      </c>
      <c r="AI9" s="55">
        <v>20</v>
      </c>
      <c r="AJ9" s="62">
        <f>Sheet_1_Table_1_137[[#This Row],[ILP Units Per Session]]*Sheet_1_Table_1_137[[#This Row],[Quota]]</f>
        <v>40</v>
      </c>
      <c r="AK9" s="63">
        <v>46335</v>
      </c>
      <c r="AL9" s="332">
        <f>WEEKDAY(Sheet_1_Table_1_137[[#This Row],[Lesson 1 
Date 
(DD-MMM-YYYY)]])</f>
        <v>2</v>
      </c>
      <c r="AM9" s="345">
        <v>0.70833333333333337</v>
      </c>
      <c r="AN9" s="346">
        <v>0.79166666666666663</v>
      </c>
      <c r="AO9" s="347" t="s">
        <v>210</v>
      </c>
      <c r="AP9" s="68"/>
      <c r="AQ9" s="64">
        <f>WEEKDAY(Sheet_1_Table_1_137[[#This Row],[Lesson 1 
Date 
(DD-MMM-YYYY)]])</f>
        <v>2</v>
      </c>
      <c r="AR9" s="65"/>
      <c r="AS9" s="66"/>
      <c r="AT9" s="66"/>
      <c r="AU9" s="63"/>
      <c r="AV9" s="165" t="e">
        <f>WEEKDAY([8]!Sheet_1_Table_1_13[[#This Row],[Lesson 3
Date 
(DD-MMM-YYYY)]])</f>
        <v>#REF!</v>
      </c>
      <c r="AW9" s="65"/>
      <c r="AX9" s="66"/>
      <c r="AY9" s="67"/>
      <c r="AZ9" s="68"/>
      <c r="BA9" s="64" t="e">
        <f>WEEKDAY([8]!Sheet_1_Table_1_13[[#This Row],[Lesson 4
Date 
(DD-MMM-YYYY)]])</f>
        <v>#REF!</v>
      </c>
      <c r="BB9" s="65"/>
      <c r="BC9" s="66"/>
      <c r="BD9" s="66"/>
      <c r="BE9" s="63"/>
      <c r="BF9" s="165" t="e">
        <f>WEEKDAY([8]!Sheet_1_Table_1_13[[#This Row],[Lesson 5
Date 
(DD-MMM-YYYY)]])</f>
        <v>#REF!</v>
      </c>
      <c r="BG9" s="65"/>
      <c r="BH9" s="66"/>
      <c r="BI9" s="67"/>
      <c r="BJ9" s="68"/>
      <c r="BK9" s="165" t="e">
        <f>WEEKDAY([8]!Sheet_1_Table_1_13[[#This Row],[Lesson 6
Date 
(DD-MMM-YYYY)]])</f>
        <v>#REF!</v>
      </c>
      <c r="BL9" s="65"/>
      <c r="BM9" s="66"/>
      <c r="BN9" s="66"/>
      <c r="BO9" s="54"/>
      <c r="BP9" s="69"/>
      <c r="BQ9" s="55"/>
      <c r="BR9" s="635" t="s">
        <v>211</v>
      </c>
      <c r="BS9" s="52"/>
      <c r="BT9" s="56"/>
      <c r="BU9" s="56"/>
      <c r="BV9" s="70"/>
      <c r="BW9" s="60"/>
      <c r="BX9" s="71"/>
      <c r="BY9" s="56" t="s">
        <v>149</v>
      </c>
      <c r="BZ9" s="56"/>
      <c r="CA9" s="56" t="s">
        <v>184</v>
      </c>
      <c r="CB9" s="72"/>
      <c r="CC9" s="72"/>
      <c r="CD9" s="71"/>
      <c r="CE9" s="60" t="s">
        <v>150</v>
      </c>
      <c r="CF9" s="164" t="s">
        <v>151</v>
      </c>
      <c r="CG9" s="56" t="s">
        <v>152</v>
      </c>
      <c r="CH9" s="291" t="s">
        <v>153</v>
      </c>
      <c r="CI9" s="52" t="s">
        <v>146</v>
      </c>
      <c r="CJ9" s="52" t="s">
        <v>142</v>
      </c>
      <c r="CK9" s="52" t="s">
        <v>142</v>
      </c>
      <c r="CL9" s="5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N9" s="790"/>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73.25">
      <c r="A10" s="48">
        <v>8</v>
      </c>
      <c r="B10" s="49">
        <v>202609</v>
      </c>
      <c r="C10" s="50" t="s">
        <v>212</v>
      </c>
      <c r="D10" s="50" t="s">
        <v>133</v>
      </c>
      <c r="E10" s="51">
        <v>5649</v>
      </c>
      <c r="F10" s="52" t="s">
        <v>134</v>
      </c>
      <c r="G10" s="53" t="s">
        <v>135</v>
      </c>
      <c r="H10" s="348" t="s">
        <v>175</v>
      </c>
      <c r="I10" s="331" t="s">
        <v>176</v>
      </c>
      <c r="J10" s="629" t="s">
        <v>213</v>
      </c>
      <c r="K10" s="628" t="s">
        <v>214</v>
      </c>
      <c r="L10" s="331"/>
      <c r="M10" s="630" t="s">
        <v>215</v>
      </c>
      <c r="N10" s="635" t="s">
        <v>216</v>
      </c>
      <c r="O10" s="644" t="s">
        <v>142</v>
      </c>
      <c r="P10" s="645" t="s">
        <v>142</v>
      </c>
      <c r="Q10" s="643" t="s">
        <v>143</v>
      </c>
      <c r="R10" s="61" t="str">
        <f>VLOOKUP(Sheet_1_Table_1_137[[#This Row],[Learning Domain]],[7]List!$A$7:$B$12,2,0)</f>
        <v>CELD</v>
      </c>
      <c r="S10" s="55">
        <v>60</v>
      </c>
      <c r="T10" s="55">
        <v>0</v>
      </c>
      <c r="U10" s="55">
        <v>0</v>
      </c>
      <c r="V10" s="55">
        <v>0</v>
      </c>
      <c r="W10" s="55">
        <v>0</v>
      </c>
      <c r="X10" s="55">
        <v>0</v>
      </c>
      <c r="Y10" s="55">
        <v>40</v>
      </c>
      <c r="Z10" s="55">
        <v>0</v>
      </c>
      <c r="AA10" s="55">
        <v>0</v>
      </c>
      <c r="AB10" s="53">
        <f>SUM(Sheet_1_Table_1_137[[#This Row],[Leadership LS]:[Career Development  CR]])</f>
        <v>100</v>
      </c>
      <c r="AC10" s="52" t="s">
        <v>199</v>
      </c>
      <c r="AD10" s="55" t="s">
        <v>145</v>
      </c>
      <c r="AE10" s="55" t="s">
        <v>142</v>
      </c>
      <c r="AF10" s="55" t="s">
        <v>146</v>
      </c>
      <c r="AG10" s="55" t="s">
        <v>142</v>
      </c>
      <c r="AH10" s="55">
        <v>3</v>
      </c>
      <c r="AI10" s="55">
        <v>8</v>
      </c>
      <c r="AJ10" s="62">
        <f>Sheet_1_Table_1_137[[#This Row],[ILP Units Per Session]]*Sheet_1_Table_1_137[[#This Row],[Quota]]</f>
        <v>24</v>
      </c>
      <c r="AK10" s="63">
        <v>46316</v>
      </c>
      <c r="AL10" s="332">
        <f>WEEKDAY(Sheet_1_Table_1_137[[#This Row],[Lesson 1 
Date 
(DD-MMM-YYYY)]])</f>
        <v>4</v>
      </c>
      <c r="AM10" s="65">
        <v>0.6875</v>
      </c>
      <c r="AN10" s="66">
        <v>0.8125</v>
      </c>
      <c r="AO10" s="67" t="s">
        <v>217</v>
      </c>
      <c r="AP10" s="68"/>
      <c r="AQ10" s="64">
        <f>WEEKDAY(Sheet_1_Table_1_137[[#This Row],[Lesson 1 
Date 
(DD-MMM-YYYY)]])</f>
        <v>4</v>
      </c>
      <c r="AR10" s="65"/>
      <c r="AS10" s="66"/>
      <c r="AT10" s="66"/>
      <c r="AU10" s="63"/>
      <c r="AV10" s="165" t="e">
        <f>WEEKDAY([8]!Sheet_1_Table_1_13[[#This Row],[Lesson 3
Date 
(DD-MMM-YYYY)]])</f>
        <v>#REF!</v>
      </c>
      <c r="AW10" s="65"/>
      <c r="AX10" s="66"/>
      <c r="AY10" s="67"/>
      <c r="AZ10" s="68"/>
      <c r="BA10" s="64" t="e">
        <f>WEEKDAY([8]!Sheet_1_Table_1_13[[#This Row],[Lesson 4
Date 
(DD-MMM-YYYY)]])</f>
        <v>#REF!</v>
      </c>
      <c r="BB10" s="65"/>
      <c r="BC10" s="66"/>
      <c r="BD10" s="66"/>
      <c r="BE10" s="63"/>
      <c r="BF10" s="165" t="e">
        <f>WEEKDAY([8]!Sheet_1_Table_1_13[[#This Row],[Lesson 5
Date 
(DD-MMM-YYYY)]])</f>
        <v>#REF!</v>
      </c>
      <c r="BG10" s="65"/>
      <c r="BH10" s="66"/>
      <c r="BI10" s="67"/>
      <c r="BJ10" s="68"/>
      <c r="BK10" s="165" t="e">
        <f>WEEKDAY([8]!Sheet_1_Table_1_13[[#This Row],[Lesson 6
Date 
(DD-MMM-YYYY)]])</f>
        <v>#REF!</v>
      </c>
      <c r="BL10" s="65"/>
      <c r="BM10" s="66"/>
      <c r="BN10" s="66"/>
      <c r="BO10" s="54"/>
      <c r="BP10" s="69"/>
      <c r="BQ10" s="55"/>
      <c r="BR10" s="635" t="s">
        <v>218</v>
      </c>
      <c r="BS10" s="52"/>
      <c r="BT10" s="56"/>
      <c r="BU10" s="56"/>
      <c r="BV10" s="70"/>
      <c r="BW10" s="60"/>
      <c r="BX10" s="71"/>
      <c r="BY10" s="56" t="s">
        <v>184</v>
      </c>
      <c r="BZ10" s="56"/>
      <c r="CA10" s="646" t="s">
        <v>219</v>
      </c>
      <c r="CB10" s="72"/>
      <c r="CC10" s="72"/>
      <c r="CD10" s="71"/>
      <c r="CE10" s="60" t="s">
        <v>150</v>
      </c>
      <c r="CF10" s="164" t="s">
        <v>151</v>
      </c>
      <c r="CG10" s="56" t="s">
        <v>152</v>
      </c>
      <c r="CH10" s="291" t="s">
        <v>153</v>
      </c>
      <c r="CI10" s="52" t="s">
        <v>146</v>
      </c>
      <c r="CJ10" s="52" t="s">
        <v>142</v>
      </c>
      <c r="CK10" s="52" t="s">
        <v>142</v>
      </c>
      <c r="CL10" s="52" t="s">
        <v>142</v>
      </c>
      <c r="CM10" s="52" t="s">
        <v>146</v>
      </c>
      <c r="CN10" s="52" t="s">
        <v>142</v>
      </c>
      <c r="CO10" s="52" t="s">
        <v>142</v>
      </c>
      <c r="CP10" s="52" t="s">
        <v>142</v>
      </c>
      <c r="CQ10" s="52" t="s">
        <v>142</v>
      </c>
      <c r="CR10" s="52" t="s">
        <v>142</v>
      </c>
      <c r="CS10" s="52" t="s">
        <v>146</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N10" s="790"/>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141.75">
      <c r="A11" s="48">
        <v>9</v>
      </c>
      <c r="B11" s="49">
        <v>202609</v>
      </c>
      <c r="C11" s="50" t="s">
        <v>220</v>
      </c>
      <c r="D11" s="50" t="s">
        <v>133</v>
      </c>
      <c r="E11" s="51">
        <v>5650</v>
      </c>
      <c r="F11" s="52" t="s">
        <v>134</v>
      </c>
      <c r="G11" s="53" t="s">
        <v>135</v>
      </c>
      <c r="H11" s="348" t="s">
        <v>175</v>
      </c>
      <c r="I11" s="331" t="s">
        <v>176</v>
      </c>
      <c r="J11" s="629" t="s">
        <v>221</v>
      </c>
      <c r="K11" s="628" t="s">
        <v>222</v>
      </c>
      <c r="L11" s="331"/>
      <c r="M11" s="647" t="s">
        <v>215</v>
      </c>
      <c r="N11" s="630" t="s">
        <v>223</v>
      </c>
      <c r="O11" s="634" t="s">
        <v>142</v>
      </c>
      <c r="P11" s="634" t="s">
        <v>142</v>
      </c>
      <c r="Q11" s="643" t="s">
        <v>143</v>
      </c>
      <c r="R11" s="77" t="str">
        <f>VLOOKUP(Sheet_1_Table_1_137[[#This Row],[Learning Domain]],[7]List!$A$7:$B$12,2,0)</f>
        <v>CELD</v>
      </c>
      <c r="S11" s="55">
        <v>60</v>
      </c>
      <c r="T11" s="55">
        <v>0</v>
      </c>
      <c r="U11" s="55">
        <v>0</v>
      </c>
      <c r="V11" s="55">
        <v>0</v>
      </c>
      <c r="W11" s="55">
        <v>0</v>
      </c>
      <c r="X11" s="55">
        <v>0</v>
      </c>
      <c r="Y11" s="55">
        <v>40</v>
      </c>
      <c r="Z11" s="55">
        <v>0</v>
      </c>
      <c r="AA11" s="55">
        <v>0</v>
      </c>
      <c r="AB11" s="53">
        <f>SUM(Sheet_1_Table_1_137[[#This Row],[Leadership LS]:[Career Development  CR]])</f>
        <v>100</v>
      </c>
      <c r="AC11" s="52" t="s">
        <v>199</v>
      </c>
      <c r="AD11" s="55" t="s">
        <v>145</v>
      </c>
      <c r="AE11" s="55" t="s">
        <v>142</v>
      </c>
      <c r="AF11" s="55" t="s">
        <v>146</v>
      </c>
      <c r="AG11" s="55" t="s">
        <v>142</v>
      </c>
      <c r="AH11" s="55">
        <v>3</v>
      </c>
      <c r="AI11" s="55">
        <v>16</v>
      </c>
      <c r="AJ11" s="62">
        <f>Sheet_1_Table_1_137[[#This Row],[ILP Units Per Session]]*Sheet_1_Table_1_137[[#This Row],[Quota]]</f>
        <v>48</v>
      </c>
      <c r="AK11" s="63">
        <v>46337</v>
      </c>
      <c r="AL11" s="332">
        <f>WEEKDAY(Sheet_1_Table_1_137[[#This Row],[Lesson 1 
Date 
(DD-MMM-YYYY)]])</f>
        <v>4</v>
      </c>
      <c r="AM11" s="65">
        <v>0.6875</v>
      </c>
      <c r="AN11" s="66">
        <v>0.8125</v>
      </c>
      <c r="AO11" s="67" t="s">
        <v>217</v>
      </c>
      <c r="AP11" s="68"/>
      <c r="AQ11" s="64">
        <f>WEEKDAY(Sheet_1_Table_1_137[[#This Row],[Lesson 1 
Date 
(DD-MMM-YYYY)]])</f>
        <v>4</v>
      </c>
      <c r="AR11" s="65"/>
      <c r="AS11" s="66"/>
      <c r="AT11" s="66"/>
      <c r="AU11" s="63"/>
      <c r="AV11" s="64" t="e">
        <f>WEEKDAY([8]!Sheet_1_Table_1_13[[#This Row],[Lesson 3
Date 
(DD-MMM-YYYY)]])</f>
        <v>#REF!</v>
      </c>
      <c r="AW11" s="65"/>
      <c r="AX11" s="66"/>
      <c r="AY11" s="67"/>
      <c r="AZ11" s="68"/>
      <c r="BA11" s="64" t="e">
        <f>WEEKDAY([8]!Sheet_1_Table_1_13[[#This Row],[Lesson 4
Date 
(DD-MMM-YYYY)]])</f>
        <v>#REF!</v>
      </c>
      <c r="BB11" s="65"/>
      <c r="BC11" s="66"/>
      <c r="BD11" s="66"/>
      <c r="BE11" s="63"/>
      <c r="BF11" s="64" t="e">
        <f>WEEKDAY([8]!Sheet_1_Table_1_13[[#This Row],[Lesson 5
Date 
(DD-MMM-YYYY)]])</f>
        <v>#REF!</v>
      </c>
      <c r="BG11" s="65"/>
      <c r="BH11" s="66"/>
      <c r="BI11" s="67"/>
      <c r="BJ11" s="68"/>
      <c r="BK11" s="64" t="e">
        <f>WEEKDAY([8]!Sheet_1_Table_1_13[[#This Row],[Lesson 6
Date 
(DD-MMM-YYYY)]])</f>
        <v>#REF!</v>
      </c>
      <c r="BL11" s="65"/>
      <c r="BM11" s="66"/>
      <c r="BN11" s="66"/>
      <c r="BO11" s="54"/>
      <c r="BP11" s="69"/>
      <c r="BQ11" s="55"/>
      <c r="BR11" s="635" t="s">
        <v>218</v>
      </c>
      <c r="BS11" s="52"/>
      <c r="BT11" s="56"/>
      <c r="BU11" s="56"/>
      <c r="BV11" s="70"/>
      <c r="BW11" s="60"/>
      <c r="BX11" s="71"/>
      <c r="BY11" s="56" t="s">
        <v>149</v>
      </c>
      <c r="BZ11" s="56"/>
      <c r="CA11" s="349" t="s">
        <v>224</v>
      </c>
      <c r="CB11" s="72"/>
      <c r="CC11" s="72"/>
      <c r="CD11" s="71"/>
      <c r="CE11" s="60" t="s">
        <v>150</v>
      </c>
      <c r="CF11" s="164" t="s">
        <v>151</v>
      </c>
      <c r="CG11" s="56" t="s">
        <v>152</v>
      </c>
      <c r="CH11" s="291" t="s">
        <v>153</v>
      </c>
      <c r="CI11" s="52" t="s">
        <v>146</v>
      </c>
      <c r="CJ11" s="52" t="s">
        <v>142</v>
      </c>
      <c r="CK11" s="52" t="s">
        <v>142</v>
      </c>
      <c r="CL11" s="52" t="s">
        <v>142</v>
      </c>
      <c r="CM11" s="52" t="s">
        <v>146</v>
      </c>
      <c r="CN11" s="52" t="s">
        <v>142</v>
      </c>
      <c r="CO11" s="52" t="s">
        <v>142</v>
      </c>
      <c r="CP11" s="52" t="s">
        <v>142</v>
      </c>
      <c r="CQ11" s="52" t="s">
        <v>142</v>
      </c>
      <c r="CR11" s="52" t="s">
        <v>142</v>
      </c>
      <c r="CS11" s="52" t="s">
        <v>146</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N11" s="790"/>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s="380" customFormat="1" ht="237.75" customHeight="1">
      <c r="A12" s="350">
        <v>10</v>
      </c>
      <c r="B12" s="49">
        <v>202609</v>
      </c>
      <c r="C12" s="351" t="s">
        <v>225</v>
      </c>
      <c r="D12" s="351" t="s">
        <v>174</v>
      </c>
      <c r="E12" s="352">
        <v>5790</v>
      </c>
      <c r="F12" s="353" t="s">
        <v>134</v>
      </c>
      <c r="G12" s="352" t="s">
        <v>135</v>
      </c>
      <c r="H12" s="354" t="s">
        <v>175</v>
      </c>
      <c r="I12" s="355" t="s">
        <v>176</v>
      </c>
      <c r="J12" s="648" t="s">
        <v>226</v>
      </c>
      <c r="K12" s="649" t="s">
        <v>227</v>
      </c>
      <c r="L12" s="355"/>
      <c r="M12" s="356" t="s">
        <v>228</v>
      </c>
      <c r="N12" s="356" t="s">
        <v>229</v>
      </c>
      <c r="O12" s="357" t="s">
        <v>146</v>
      </c>
      <c r="P12" s="358" t="s">
        <v>146</v>
      </c>
      <c r="Q12" s="650" t="s">
        <v>143</v>
      </c>
      <c r="R12" s="351" t="str">
        <f>VLOOKUP(Sheet_1_Table_1_137[[#This Row],[Learning Domain]],[7]List!$A$7:$B$12,2,0)</f>
        <v>CELD</v>
      </c>
      <c r="S12" s="359">
        <v>60</v>
      </c>
      <c r="T12" s="359">
        <v>0</v>
      </c>
      <c r="U12" s="359">
        <v>0</v>
      </c>
      <c r="V12" s="359">
        <v>0</v>
      </c>
      <c r="W12" s="359">
        <v>0</v>
      </c>
      <c r="X12" s="359">
        <v>20</v>
      </c>
      <c r="Y12" s="359">
        <v>20</v>
      </c>
      <c r="Z12" s="359">
        <v>0</v>
      </c>
      <c r="AA12" s="359">
        <v>0</v>
      </c>
      <c r="AB12" s="53">
        <f>SUM(Sheet_1_Table_1_137[[#This Row],[Leadership LS]:[Career Development  CR]])</f>
        <v>100</v>
      </c>
      <c r="AC12" s="353" t="s">
        <v>199</v>
      </c>
      <c r="AD12" s="359" t="s">
        <v>145</v>
      </c>
      <c r="AE12" s="359" t="s">
        <v>142</v>
      </c>
      <c r="AF12" s="359" t="s">
        <v>146</v>
      </c>
      <c r="AG12" s="359" t="s">
        <v>142</v>
      </c>
      <c r="AH12" s="174">
        <v>2</v>
      </c>
      <c r="AI12" s="174">
        <v>40</v>
      </c>
      <c r="AJ12" s="360">
        <f>Sheet_1_Table_1_137[[#This Row],[ILP Units Per Session]]*Sheet_1_Table_1_137[[#This Row],[Quota]]</f>
        <v>80</v>
      </c>
      <c r="AK12" s="179">
        <v>46325</v>
      </c>
      <c r="AL12" s="180">
        <f>WEEKDAY(Sheet_1_Table_1_137[[#This Row],[Lesson 1 
Date 
(DD-MMM-YYYY)]])</f>
        <v>6</v>
      </c>
      <c r="AM12" s="181">
        <v>0.66666666666666663</v>
      </c>
      <c r="AN12" s="182">
        <v>0.75</v>
      </c>
      <c r="AO12" s="183" t="s">
        <v>230</v>
      </c>
      <c r="AP12" s="361"/>
      <c r="AQ12" s="362">
        <f>WEEKDAY(Sheet_1_Table_1_137[[#This Row],[Lesson 1 
Date 
(DD-MMM-YYYY)]])</f>
        <v>6</v>
      </c>
      <c r="AR12" s="363"/>
      <c r="AS12" s="364"/>
      <c r="AT12" s="364"/>
      <c r="AU12" s="365"/>
      <c r="AV12" s="362" t="e">
        <f>WEEKDAY([8]!Sheet_1_Table_1_13[[#This Row],[Lesson 3
Date 
(DD-MMM-YYYY)]])</f>
        <v>#REF!</v>
      </c>
      <c r="AW12" s="363"/>
      <c r="AX12" s="364"/>
      <c r="AY12" s="366"/>
      <c r="AZ12" s="361"/>
      <c r="BA12" s="362" t="e">
        <f>WEEKDAY([8]!Sheet_1_Table_1_13[[#This Row],[Lesson 4
Date 
(DD-MMM-YYYY)]])</f>
        <v>#REF!</v>
      </c>
      <c r="BB12" s="363"/>
      <c r="BC12" s="364"/>
      <c r="BD12" s="364"/>
      <c r="BE12" s="365"/>
      <c r="BF12" s="362" t="e">
        <f>WEEKDAY([8]!Sheet_1_Table_1_13[[#This Row],[Lesson 5
Date 
(DD-MMM-YYYY)]])</f>
        <v>#REF!</v>
      </c>
      <c r="BG12" s="363"/>
      <c r="BH12" s="364"/>
      <c r="BI12" s="366"/>
      <c r="BJ12" s="361"/>
      <c r="BK12" s="362" t="e">
        <f>WEEKDAY([8]!Sheet_1_Table_1_13[[#This Row],[Lesson 6
Date 
(DD-MMM-YYYY)]])</f>
        <v>#REF!</v>
      </c>
      <c r="BL12" s="363"/>
      <c r="BM12" s="364"/>
      <c r="BN12" s="364"/>
      <c r="BO12" s="367"/>
      <c r="BP12" s="368"/>
      <c r="BQ12" s="359"/>
      <c r="BR12" s="651" t="s">
        <v>231</v>
      </c>
      <c r="BS12" s="353"/>
      <c r="BT12" s="369"/>
      <c r="BU12" s="369"/>
      <c r="BV12" s="370"/>
      <c r="BW12" s="371"/>
      <c r="BX12" s="372"/>
      <c r="BY12" s="369"/>
      <c r="BZ12" s="369"/>
      <c r="CA12" s="373" t="s">
        <v>232</v>
      </c>
      <c r="CB12" s="374"/>
      <c r="CC12" s="374"/>
      <c r="CD12" s="372"/>
      <c r="CE12" s="371" t="s">
        <v>150</v>
      </c>
      <c r="CF12" s="375" t="s">
        <v>151</v>
      </c>
      <c r="CG12" s="369" t="s">
        <v>152</v>
      </c>
      <c r="CH12" s="376" t="s">
        <v>153</v>
      </c>
      <c r="CI12" s="353" t="s">
        <v>146</v>
      </c>
      <c r="CJ12" s="353" t="s">
        <v>142</v>
      </c>
      <c r="CK12" s="353" t="s">
        <v>142</v>
      </c>
      <c r="CL12" s="353" t="s">
        <v>142</v>
      </c>
      <c r="CM12" s="353" t="s">
        <v>146</v>
      </c>
      <c r="CN12" s="353" t="s">
        <v>142</v>
      </c>
      <c r="CO12" s="353" t="s">
        <v>142</v>
      </c>
      <c r="CP12" s="353" t="s">
        <v>142</v>
      </c>
      <c r="CQ12" s="353" t="s">
        <v>142</v>
      </c>
      <c r="CR12" s="353" t="s">
        <v>142</v>
      </c>
      <c r="CS12" s="353" t="s">
        <v>146</v>
      </c>
      <c r="CT12" s="353" t="s">
        <v>142</v>
      </c>
      <c r="CU12" s="353" t="s">
        <v>142</v>
      </c>
      <c r="CV12" s="353" t="s">
        <v>142</v>
      </c>
      <c r="CW12" s="353" t="s">
        <v>142</v>
      </c>
      <c r="CX12" s="353" t="s">
        <v>142</v>
      </c>
      <c r="CY12" s="353" t="s">
        <v>146</v>
      </c>
      <c r="CZ12" s="353" t="s">
        <v>146</v>
      </c>
      <c r="DA12" s="367" t="s">
        <v>154</v>
      </c>
      <c r="DB12" s="351" t="s">
        <v>155</v>
      </c>
      <c r="DC12" s="351" t="s">
        <v>156</v>
      </c>
      <c r="DD12" s="351" t="s">
        <v>146</v>
      </c>
      <c r="DE12" s="351" t="s">
        <v>157</v>
      </c>
      <c r="DF12" s="351" t="s">
        <v>146</v>
      </c>
      <c r="DG12" s="377"/>
      <c r="DH12" s="377"/>
      <c r="DI12" s="378"/>
      <c r="DJ12" s="377"/>
      <c r="DK12" s="359" t="s">
        <v>146</v>
      </c>
      <c r="DL12" s="359" t="s">
        <v>146</v>
      </c>
      <c r="DM12" s="359" t="s">
        <v>146</v>
      </c>
      <c r="DN12" s="834"/>
      <c r="DO12" s="379"/>
      <c r="DP12" s="379"/>
      <c r="DQ12" s="379"/>
      <c r="DR12" s="379"/>
      <c r="DS12" s="379"/>
    </row>
    <row r="13" spans="1:156" s="380" customFormat="1" ht="150.75" customHeight="1">
      <c r="A13" s="350">
        <v>11</v>
      </c>
      <c r="B13" s="49">
        <v>202609</v>
      </c>
      <c r="C13" s="351" t="s">
        <v>233</v>
      </c>
      <c r="D13" s="351" t="s">
        <v>205</v>
      </c>
      <c r="E13" s="352">
        <v>5791</v>
      </c>
      <c r="F13" s="353" t="s">
        <v>134</v>
      </c>
      <c r="G13" s="352" t="s">
        <v>135</v>
      </c>
      <c r="H13" s="354" t="s">
        <v>175</v>
      </c>
      <c r="I13" s="355" t="s">
        <v>176</v>
      </c>
      <c r="J13" s="648" t="s">
        <v>234</v>
      </c>
      <c r="K13" s="649" t="s">
        <v>235</v>
      </c>
      <c r="L13" s="355"/>
      <c r="M13" s="381" t="s">
        <v>236</v>
      </c>
      <c r="N13" s="382" t="s">
        <v>237</v>
      </c>
      <c r="O13" s="357" t="s">
        <v>146</v>
      </c>
      <c r="P13" s="357" t="s">
        <v>146</v>
      </c>
      <c r="Q13" s="650" t="s">
        <v>143</v>
      </c>
      <c r="R13" s="383" t="str">
        <f>VLOOKUP(Sheet_1_Table_1_137[[#This Row],[Learning Domain]],[7]List!$A$7:$B$12,2,0)</f>
        <v>CELD</v>
      </c>
      <c r="S13" s="359">
        <v>60</v>
      </c>
      <c r="T13" s="359">
        <v>0</v>
      </c>
      <c r="U13" s="359">
        <v>0</v>
      </c>
      <c r="V13" s="359">
        <v>0</v>
      </c>
      <c r="W13" s="359">
        <v>0</v>
      </c>
      <c r="X13" s="359">
        <v>20</v>
      </c>
      <c r="Y13" s="359">
        <v>20</v>
      </c>
      <c r="Z13" s="359">
        <v>0</v>
      </c>
      <c r="AA13" s="359">
        <v>0</v>
      </c>
      <c r="AB13" s="53">
        <f>SUM(Sheet_1_Table_1_137[[#This Row],[Leadership LS]:[Career Development  CR]])</f>
        <v>100</v>
      </c>
      <c r="AC13" s="353" t="s">
        <v>199</v>
      </c>
      <c r="AD13" s="359" t="s">
        <v>145</v>
      </c>
      <c r="AE13" s="359" t="s">
        <v>142</v>
      </c>
      <c r="AF13" s="359" t="s">
        <v>146</v>
      </c>
      <c r="AG13" s="359" t="s">
        <v>142</v>
      </c>
      <c r="AH13" s="174">
        <v>1.5</v>
      </c>
      <c r="AI13" s="174">
        <v>40</v>
      </c>
      <c r="AJ13" s="360">
        <f>Sheet_1_Table_1_137[[#This Row],[ILP Units Per Session]]*Sheet_1_Table_1_137[[#This Row],[Quota]]</f>
        <v>60</v>
      </c>
      <c r="AK13" s="179">
        <v>46328</v>
      </c>
      <c r="AL13" s="180">
        <f>WEEKDAY(Sheet_1_Table_1_137[[#This Row],[Lesson 1 
Date 
(DD-MMM-YYYY)]])</f>
        <v>2</v>
      </c>
      <c r="AM13" s="181">
        <v>0.66666666666666663</v>
      </c>
      <c r="AN13" s="182">
        <v>0.72916666666666663</v>
      </c>
      <c r="AO13" s="183" t="s">
        <v>238</v>
      </c>
      <c r="AP13" s="361"/>
      <c r="AQ13" s="362">
        <f>WEEKDAY(Sheet_1_Table_1_137[[#This Row],[Lesson 1 
Date 
(DD-MMM-YYYY)]])</f>
        <v>2</v>
      </c>
      <c r="AR13" s="363"/>
      <c r="AS13" s="364"/>
      <c r="AT13" s="364"/>
      <c r="AU13" s="365"/>
      <c r="AV13" s="362" t="e">
        <f>WEEKDAY([8]!Sheet_1_Table_1_13[[#This Row],[Lesson 3
Date 
(DD-MMM-YYYY)]])</f>
        <v>#REF!</v>
      </c>
      <c r="AW13" s="363"/>
      <c r="AX13" s="364"/>
      <c r="AY13" s="366"/>
      <c r="AZ13" s="361"/>
      <c r="BA13" s="362" t="e">
        <f>WEEKDAY([8]!Sheet_1_Table_1_13[[#This Row],[Lesson 4
Date 
(DD-MMM-YYYY)]])</f>
        <v>#REF!</v>
      </c>
      <c r="BB13" s="363"/>
      <c r="BC13" s="364"/>
      <c r="BD13" s="364"/>
      <c r="BE13" s="365"/>
      <c r="BF13" s="362" t="e">
        <f>WEEKDAY([8]!Sheet_1_Table_1_13[[#This Row],[Lesson 5
Date 
(DD-MMM-YYYY)]])</f>
        <v>#REF!</v>
      </c>
      <c r="BG13" s="363"/>
      <c r="BH13" s="364"/>
      <c r="BI13" s="366"/>
      <c r="BJ13" s="361"/>
      <c r="BK13" s="362" t="e">
        <f>WEEKDAY([8]!Sheet_1_Table_1_13[[#This Row],[Lesson 6
Date 
(DD-MMM-YYYY)]])</f>
        <v>#REF!</v>
      </c>
      <c r="BL13" s="363"/>
      <c r="BM13" s="364"/>
      <c r="BN13" s="364"/>
      <c r="BO13" s="367"/>
      <c r="BP13" s="368"/>
      <c r="BQ13" s="359"/>
      <c r="BR13" s="651" t="s">
        <v>231</v>
      </c>
      <c r="BS13" s="353"/>
      <c r="BT13" s="369"/>
      <c r="BU13" s="369"/>
      <c r="BV13" s="370"/>
      <c r="BW13" s="371"/>
      <c r="BX13" s="372"/>
      <c r="BY13" s="369"/>
      <c r="BZ13" s="369"/>
      <c r="CA13" s="384" t="s">
        <v>239</v>
      </c>
      <c r="CB13" s="374"/>
      <c r="CC13" s="374"/>
      <c r="CD13" s="372"/>
      <c r="CE13" s="371" t="s">
        <v>150</v>
      </c>
      <c r="CF13" s="375" t="s">
        <v>151</v>
      </c>
      <c r="CG13" s="369" t="s">
        <v>152</v>
      </c>
      <c r="CH13" s="376" t="s">
        <v>153</v>
      </c>
      <c r="CI13" s="353" t="s">
        <v>146</v>
      </c>
      <c r="CJ13" s="353" t="s">
        <v>142</v>
      </c>
      <c r="CK13" s="353" t="s">
        <v>142</v>
      </c>
      <c r="CL13" s="353" t="s">
        <v>142</v>
      </c>
      <c r="CM13" s="353" t="s">
        <v>146</v>
      </c>
      <c r="CN13" s="353" t="s">
        <v>142</v>
      </c>
      <c r="CO13" s="353" t="s">
        <v>142</v>
      </c>
      <c r="CP13" s="353" t="s">
        <v>142</v>
      </c>
      <c r="CQ13" s="353" t="s">
        <v>142</v>
      </c>
      <c r="CR13" s="353" t="s">
        <v>142</v>
      </c>
      <c r="CS13" s="353" t="s">
        <v>146</v>
      </c>
      <c r="CT13" s="353" t="s">
        <v>142</v>
      </c>
      <c r="CU13" s="353" t="s">
        <v>142</v>
      </c>
      <c r="CV13" s="353" t="s">
        <v>142</v>
      </c>
      <c r="CW13" s="353" t="s">
        <v>142</v>
      </c>
      <c r="CX13" s="353" t="s">
        <v>142</v>
      </c>
      <c r="CY13" s="353" t="s">
        <v>146</v>
      </c>
      <c r="CZ13" s="353" t="s">
        <v>146</v>
      </c>
      <c r="DA13" s="367" t="s">
        <v>154</v>
      </c>
      <c r="DB13" s="351" t="s">
        <v>155</v>
      </c>
      <c r="DC13" s="351" t="s">
        <v>156</v>
      </c>
      <c r="DD13" s="351" t="s">
        <v>146</v>
      </c>
      <c r="DE13" s="351" t="s">
        <v>157</v>
      </c>
      <c r="DF13" s="351" t="s">
        <v>146</v>
      </c>
      <c r="DG13" s="377"/>
      <c r="DH13" s="377"/>
      <c r="DI13" s="378"/>
      <c r="DJ13" s="377"/>
      <c r="DK13" s="359" t="s">
        <v>146</v>
      </c>
      <c r="DL13" s="359" t="s">
        <v>146</v>
      </c>
      <c r="DM13" s="359" t="s">
        <v>146</v>
      </c>
      <c r="DN13" s="834"/>
      <c r="DO13" s="379"/>
      <c r="DP13" s="379"/>
      <c r="DQ13" s="379"/>
      <c r="DR13" s="379"/>
      <c r="DS13" s="379"/>
    </row>
    <row r="14" spans="1:156" ht="246.75" customHeight="1">
      <c r="A14" s="48">
        <v>12</v>
      </c>
      <c r="B14" s="49">
        <v>202609</v>
      </c>
      <c r="C14" s="50" t="s">
        <v>240</v>
      </c>
      <c r="D14" s="50" t="s">
        <v>174</v>
      </c>
      <c r="E14" s="51">
        <v>5651</v>
      </c>
      <c r="F14" s="52" t="s">
        <v>134</v>
      </c>
      <c r="G14" s="53" t="s">
        <v>135</v>
      </c>
      <c r="H14" s="348" t="s">
        <v>175</v>
      </c>
      <c r="I14" s="331" t="s">
        <v>176</v>
      </c>
      <c r="J14" s="629" t="s">
        <v>241</v>
      </c>
      <c r="K14" s="628" t="s">
        <v>242</v>
      </c>
      <c r="L14" s="331"/>
      <c r="M14" s="385" t="s">
        <v>243</v>
      </c>
      <c r="N14" s="385" t="s">
        <v>244</v>
      </c>
      <c r="O14" s="341" t="s">
        <v>146</v>
      </c>
      <c r="P14" s="341" t="s">
        <v>146</v>
      </c>
      <c r="Q14" s="643" t="s">
        <v>143</v>
      </c>
      <c r="R14" s="61" t="str">
        <f>VLOOKUP(Sheet_1_Table_1_137[[#This Row],[Learning Domain]],[7]List!$A$7:$B$12,2,0)</f>
        <v>CELD</v>
      </c>
      <c r="S14" s="55">
        <v>60</v>
      </c>
      <c r="T14" s="55">
        <v>20</v>
      </c>
      <c r="U14" s="55">
        <v>0</v>
      </c>
      <c r="V14" s="55">
        <v>0</v>
      </c>
      <c r="W14" s="55">
        <v>0</v>
      </c>
      <c r="X14" s="55">
        <v>0</v>
      </c>
      <c r="Y14" s="55">
        <v>20</v>
      </c>
      <c r="Z14" s="55">
        <v>0</v>
      </c>
      <c r="AA14" s="55">
        <v>0</v>
      </c>
      <c r="AB14" s="53">
        <f>SUM(Sheet_1_Table_1_137[[#This Row],[Leadership LS]:[Career Development  CR]])</f>
        <v>100</v>
      </c>
      <c r="AC14" s="52" t="s">
        <v>245</v>
      </c>
      <c r="AD14" s="55" t="s">
        <v>145</v>
      </c>
      <c r="AE14" s="55" t="s">
        <v>142</v>
      </c>
      <c r="AF14" s="55" t="s">
        <v>146</v>
      </c>
      <c r="AG14" s="55" t="s">
        <v>142</v>
      </c>
      <c r="AH14" s="55">
        <v>2</v>
      </c>
      <c r="AI14" s="55">
        <v>25</v>
      </c>
      <c r="AJ14" s="62">
        <f>Sheet_1_Table_1_137[[#This Row],[ILP Units Per Session]]*Sheet_1_Table_1_137[[#This Row],[Quota]]</f>
        <v>50</v>
      </c>
      <c r="AK14" s="63">
        <v>46309</v>
      </c>
      <c r="AL14" s="64">
        <f>WEEKDAY(Sheet_1_Table_1_137[[#This Row],[Lesson 1 
Date 
(DD-MMM-YYYY)]])</f>
        <v>4</v>
      </c>
      <c r="AM14" s="65">
        <v>0.60416666666666663</v>
      </c>
      <c r="AN14" s="66">
        <v>0.6875</v>
      </c>
      <c r="AO14" s="67" t="s">
        <v>246</v>
      </c>
      <c r="AP14" s="68"/>
      <c r="AQ14" s="64">
        <f>WEEKDAY(Sheet_1_Table_1_137[[#This Row],[Lesson 1 
Date 
(DD-MMM-YYYY)]])</f>
        <v>4</v>
      </c>
      <c r="AR14" s="65"/>
      <c r="AS14" s="66"/>
      <c r="AT14" s="66"/>
      <c r="AU14" s="63"/>
      <c r="AV14" s="64" t="e">
        <f>WEEKDAY([8]!Sheet_1_Table_1_13[[#This Row],[Lesson 3
Date 
(DD-MMM-YYYY)]])</f>
        <v>#REF!</v>
      </c>
      <c r="AW14" s="65"/>
      <c r="AX14" s="66"/>
      <c r="AY14" s="67"/>
      <c r="AZ14" s="68"/>
      <c r="BA14" s="64" t="e">
        <f>WEEKDAY([8]!Sheet_1_Table_1_13[[#This Row],[Lesson 4
Date 
(DD-MMM-YYYY)]])</f>
        <v>#REF!</v>
      </c>
      <c r="BB14" s="65"/>
      <c r="BC14" s="66"/>
      <c r="BD14" s="66"/>
      <c r="BE14" s="63"/>
      <c r="BF14" s="64" t="e">
        <f>WEEKDAY([8]!Sheet_1_Table_1_13[[#This Row],[Lesson 5
Date 
(DD-MMM-YYYY)]])</f>
        <v>#REF!</v>
      </c>
      <c r="BG14" s="65"/>
      <c r="BH14" s="66"/>
      <c r="BI14" s="67"/>
      <c r="BJ14" s="68"/>
      <c r="BK14" s="64" t="e">
        <f>WEEKDAY([8]!Sheet_1_Table_1_13[[#This Row],[Lesson 6
Date 
(DD-MMM-YYYY)]])</f>
        <v>#REF!</v>
      </c>
      <c r="BL14" s="65"/>
      <c r="BM14" s="66"/>
      <c r="BN14" s="66"/>
      <c r="BO14" s="54"/>
      <c r="BP14" s="69"/>
      <c r="BQ14" s="55"/>
      <c r="BR14" s="635" t="s">
        <v>247</v>
      </c>
      <c r="BS14" s="52"/>
      <c r="BT14" s="56"/>
      <c r="BU14" s="56"/>
      <c r="BV14" s="70"/>
      <c r="BW14" s="60"/>
      <c r="BX14" s="71"/>
      <c r="BY14" s="646" t="s">
        <v>248</v>
      </c>
      <c r="BZ14" s="646" t="s">
        <v>248</v>
      </c>
      <c r="CA14" s="349" t="s">
        <v>249</v>
      </c>
      <c r="CB14" s="72"/>
      <c r="CC14" s="72"/>
      <c r="CD14" s="71"/>
      <c r="CE14" s="60" t="s">
        <v>150</v>
      </c>
      <c r="CF14" s="164" t="s">
        <v>151</v>
      </c>
      <c r="CG14" s="56" t="s">
        <v>152</v>
      </c>
      <c r="CH14" s="291" t="s">
        <v>153</v>
      </c>
      <c r="CI14" s="52" t="s">
        <v>146</v>
      </c>
      <c r="CJ14" s="52" t="s">
        <v>142</v>
      </c>
      <c r="CK14" s="52" t="s">
        <v>142</v>
      </c>
      <c r="CL14" s="52" t="s">
        <v>142</v>
      </c>
      <c r="CM14" s="52" t="s">
        <v>142</v>
      </c>
      <c r="CN14" s="52" t="s">
        <v>142</v>
      </c>
      <c r="CO14" s="52" t="s">
        <v>142</v>
      </c>
      <c r="CP14" s="52" t="s">
        <v>142</v>
      </c>
      <c r="CQ14" s="52" t="s">
        <v>142</v>
      </c>
      <c r="CR14" s="52" t="s">
        <v>142</v>
      </c>
      <c r="CS14" s="52" t="s">
        <v>142</v>
      </c>
      <c r="CT14" s="52" t="s">
        <v>146</v>
      </c>
      <c r="CU14" s="52" t="s">
        <v>146</v>
      </c>
      <c r="CV14" s="52" t="s">
        <v>146</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N14" s="790"/>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203.25" customHeight="1">
      <c r="A15" s="48">
        <v>13</v>
      </c>
      <c r="B15" s="49">
        <v>202609</v>
      </c>
      <c r="C15" s="50" t="s">
        <v>250</v>
      </c>
      <c r="D15" s="50" t="s">
        <v>251</v>
      </c>
      <c r="E15" s="51">
        <v>5652</v>
      </c>
      <c r="F15" s="52" t="s">
        <v>134</v>
      </c>
      <c r="G15" s="53" t="s">
        <v>135</v>
      </c>
      <c r="H15" s="348" t="s">
        <v>175</v>
      </c>
      <c r="I15" s="331" t="s">
        <v>176</v>
      </c>
      <c r="J15" s="643" t="s">
        <v>252</v>
      </c>
      <c r="K15" s="628" t="s">
        <v>253</v>
      </c>
      <c r="L15" s="331"/>
      <c r="M15" s="630" t="s">
        <v>254</v>
      </c>
      <c r="N15" s="635" t="s">
        <v>255</v>
      </c>
      <c r="O15" s="341" t="s">
        <v>146</v>
      </c>
      <c r="P15" s="341" t="s">
        <v>146</v>
      </c>
      <c r="Q15" s="652" t="s">
        <v>143</v>
      </c>
      <c r="R15" s="77" t="str">
        <f>VLOOKUP(Sheet_1_Table_1_137[[#This Row],[Learning Domain]],[7]List!$A$7:$B$12,2,0)</f>
        <v>CELD</v>
      </c>
      <c r="S15" s="55">
        <v>60</v>
      </c>
      <c r="T15" s="55"/>
      <c r="U15" s="55"/>
      <c r="V15" s="55">
        <v>20</v>
      </c>
      <c r="W15" s="55"/>
      <c r="X15" s="55"/>
      <c r="Y15" s="55">
        <v>20</v>
      </c>
      <c r="Z15" s="55"/>
      <c r="AA15" s="55"/>
      <c r="AB15" s="53">
        <f>SUM(Sheet_1_Table_1_137[[#This Row],[Leadership LS]:[Career Development  CR]])</f>
        <v>100</v>
      </c>
      <c r="AC15" s="52" t="s">
        <v>245</v>
      </c>
      <c r="AD15" s="55" t="s">
        <v>190</v>
      </c>
      <c r="AE15" s="55" t="s">
        <v>142</v>
      </c>
      <c r="AF15" s="55" t="s">
        <v>146</v>
      </c>
      <c r="AG15" s="55" t="s">
        <v>142</v>
      </c>
      <c r="AH15" s="55">
        <v>3</v>
      </c>
      <c r="AI15" s="55">
        <v>25</v>
      </c>
      <c r="AJ15" s="62">
        <f>Sheet_1_Table_1_137[[#This Row],[ILP Units Per Session]]*Sheet_1_Table_1_137[[#This Row],[Quota]]</f>
        <v>75</v>
      </c>
      <c r="AK15" s="63">
        <v>46293</v>
      </c>
      <c r="AL15" s="64">
        <f>WEEKDAY(Sheet_1_Table_1_137[[#This Row],[Lesson 1 
Date 
(DD-MMM-YYYY)]])</f>
        <v>2</v>
      </c>
      <c r="AM15" s="65">
        <v>0.55208333333333337</v>
      </c>
      <c r="AN15" s="66">
        <v>0.6875</v>
      </c>
      <c r="AO15" s="67" t="s">
        <v>256</v>
      </c>
      <c r="AP15" s="68"/>
      <c r="AQ15" s="64">
        <f>WEEKDAY(Sheet_1_Table_1_137[[#This Row],[Lesson 1 
Date 
(DD-MMM-YYYY)]])</f>
        <v>2</v>
      </c>
      <c r="AR15" s="65"/>
      <c r="AS15" s="66"/>
      <c r="AT15" s="66"/>
      <c r="AU15" s="63"/>
      <c r="AV15" s="64" t="e">
        <f>WEEKDAY([8]!Sheet_1_Table_1_13[[#This Row],[Lesson 3
Date 
(DD-MMM-YYYY)]])</f>
        <v>#REF!</v>
      </c>
      <c r="AW15" s="65"/>
      <c r="AX15" s="66"/>
      <c r="AY15" s="67"/>
      <c r="AZ15" s="68"/>
      <c r="BA15" s="64" t="e">
        <f>WEEKDAY([8]!Sheet_1_Table_1_13[[#This Row],[Lesson 4
Date 
(DD-MMM-YYYY)]])</f>
        <v>#REF!</v>
      </c>
      <c r="BB15" s="65"/>
      <c r="BC15" s="66"/>
      <c r="BD15" s="66"/>
      <c r="BE15" s="63"/>
      <c r="BF15" s="64" t="e">
        <f>WEEKDAY([8]!Sheet_1_Table_1_13[[#This Row],[Lesson 5
Date 
(DD-MMM-YYYY)]])</f>
        <v>#REF!</v>
      </c>
      <c r="BG15" s="65"/>
      <c r="BH15" s="66"/>
      <c r="BI15" s="67"/>
      <c r="BJ15" s="68"/>
      <c r="BK15" s="64" t="e">
        <f>WEEKDAY([8]!Sheet_1_Table_1_13[[#This Row],[Lesson 6
Date 
(DD-MMM-YYYY)]])</f>
        <v>#REF!</v>
      </c>
      <c r="BL15" s="65"/>
      <c r="BM15" s="66"/>
      <c r="BN15" s="66"/>
      <c r="BO15" s="54"/>
      <c r="BP15" s="69"/>
      <c r="BQ15" s="55"/>
      <c r="BR15" s="57" t="s">
        <v>257</v>
      </c>
      <c r="BS15" s="52"/>
      <c r="BT15" s="56"/>
      <c r="BU15" s="56"/>
      <c r="BV15" s="70"/>
      <c r="BW15" s="60"/>
      <c r="BX15" s="187"/>
      <c r="BY15" s="646" t="s">
        <v>248</v>
      </c>
      <c r="BZ15" s="646" t="s">
        <v>248</v>
      </c>
      <c r="CA15" s="349" t="s">
        <v>258</v>
      </c>
      <c r="CB15" s="72"/>
      <c r="CC15" s="72"/>
      <c r="CD15" s="71"/>
      <c r="CE15" s="60" t="s">
        <v>150</v>
      </c>
      <c r="CF15" s="164" t="s">
        <v>151</v>
      </c>
      <c r="CG15" s="56" t="s">
        <v>152</v>
      </c>
      <c r="CH15" s="291" t="s">
        <v>153</v>
      </c>
      <c r="CI15" s="52" t="s">
        <v>146</v>
      </c>
      <c r="CJ15" s="52" t="s">
        <v>142</v>
      </c>
      <c r="CK15" s="52" t="s">
        <v>142</v>
      </c>
      <c r="CL15" s="52" t="s">
        <v>146</v>
      </c>
      <c r="CM15" s="52" t="s">
        <v>142</v>
      </c>
      <c r="CN15" s="52" t="s">
        <v>142</v>
      </c>
      <c r="CO15" s="52" t="s">
        <v>142</v>
      </c>
      <c r="CP15" s="52" t="s">
        <v>142</v>
      </c>
      <c r="CQ15" s="52" t="s">
        <v>142</v>
      </c>
      <c r="CR15" s="52" t="s">
        <v>142</v>
      </c>
      <c r="CS15" s="52" t="s">
        <v>146</v>
      </c>
      <c r="CT15" s="52" t="s">
        <v>146</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N15" s="790"/>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05">
      <c r="A16" s="48">
        <v>14</v>
      </c>
      <c r="B16" s="49">
        <v>202609</v>
      </c>
      <c r="C16" s="50" t="s">
        <v>259</v>
      </c>
      <c r="D16" s="50" t="s">
        <v>251</v>
      </c>
      <c r="E16" s="51">
        <v>5653</v>
      </c>
      <c r="F16" s="52" t="s">
        <v>134</v>
      </c>
      <c r="G16" s="53" t="s">
        <v>135</v>
      </c>
      <c r="H16" s="348" t="s">
        <v>175</v>
      </c>
      <c r="I16" s="331" t="s">
        <v>176</v>
      </c>
      <c r="J16" s="643" t="s">
        <v>260</v>
      </c>
      <c r="K16" s="628" t="s">
        <v>261</v>
      </c>
      <c r="L16" s="331"/>
      <c r="M16" s="56" t="s">
        <v>262</v>
      </c>
      <c r="N16" s="57" t="s">
        <v>263</v>
      </c>
      <c r="O16" s="341" t="s">
        <v>146</v>
      </c>
      <c r="P16" s="341" t="s">
        <v>146</v>
      </c>
      <c r="Q16" s="60" t="s">
        <v>143</v>
      </c>
      <c r="R16" s="61" t="str">
        <f>VLOOKUP(Sheet_1_Table_1_137[[#This Row],[Learning Domain]],[7]List!$A$7:$B$12,2,0)</f>
        <v>CELD</v>
      </c>
      <c r="S16" s="55">
        <v>60</v>
      </c>
      <c r="T16" s="55">
        <v>0</v>
      </c>
      <c r="U16" s="55">
        <v>20</v>
      </c>
      <c r="V16" s="55">
        <v>20</v>
      </c>
      <c r="W16" s="55">
        <v>0</v>
      </c>
      <c r="X16" s="55">
        <v>0</v>
      </c>
      <c r="Y16" s="55">
        <v>0</v>
      </c>
      <c r="Z16" s="55">
        <v>0</v>
      </c>
      <c r="AA16" s="55">
        <v>0</v>
      </c>
      <c r="AB16" s="53">
        <f>SUM(Sheet_1_Table_1_137[[#This Row],[Leadership LS]:[Career Development  CR]])</f>
        <v>100</v>
      </c>
      <c r="AC16" s="52" t="s">
        <v>144</v>
      </c>
      <c r="AD16" s="55" t="s">
        <v>190</v>
      </c>
      <c r="AE16" s="55" t="s">
        <v>142</v>
      </c>
      <c r="AF16" s="55" t="s">
        <v>146</v>
      </c>
      <c r="AG16" s="55" t="s">
        <v>142</v>
      </c>
      <c r="AH16" s="55">
        <v>1</v>
      </c>
      <c r="AI16" s="55">
        <v>80</v>
      </c>
      <c r="AJ16" s="62">
        <f>Sheet_1_Table_1_137[[#This Row],[ILP Units Per Session]]*Sheet_1_Table_1_137[[#This Row],[Quota]]</f>
        <v>80</v>
      </c>
      <c r="AK16" s="63">
        <v>46295</v>
      </c>
      <c r="AL16" s="64">
        <f>WEEKDAY(Sheet_1_Table_1_137[[#This Row],[Lesson 1 
Date 
(DD-MMM-YYYY)]])</f>
        <v>4</v>
      </c>
      <c r="AM16" s="65">
        <v>0.66666666666666663</v>
      </c>
      <c r="AN16" s="66">
        <v>0.70833333333333337</v>
      </c>
      <c r="AO16" s="67" t="s">
        <v>264</v>
      </c>
      <c r="AP16" s="68"/>
      <c r="AQ16" s="64">
        <f>WEEKDAY(Sheet_1_Table_1_137[[#This Row],[Lesson 1 
Date 
(DD-MMM-YYYY)]])</f>
        <v>4</v>
      </c>
      <c r="AR16" s="65"/>
      <c r="AS16" s="66"/>
      <c r="AT16" s="66"/>
      <c r="AU16" s="63"/>
      <c r="AV16" s="64" t="e">
        <f>WEEKDAY([8]!Sheet_1_Table_1_13[[#This Row],[Lesson 3
Date 
(DD-MMM-YYYY)]])</f>
        <v>#REF!</v>
      </c>
      <c r="AW16" s="65"/>
      <c r="AX16" s="66"/>
      <c r="AY16" s="67"/>
      <c r="AZ16" s="68"/>
      <c r="BA16" s="64" t="e">
        <f>WEEKDAY([8]!Sheet_1_Table_1_13[[#This Row],[Lesson 4
Date 
(DD-MMM-YYYY)]])</f>
        <v>#REF!</v>
      </c>
      <c r="BB16" s="65"/>
      <c r="BC16" s="66"/>
      <c r="BD16" s="66"/>
      <c r="BE16" s="63"/>
      <c r="BF16" s="64" t="e">
        <f>WEEKDAY([8]!Sheet_1_Table_1_13[[#This Row],[Lesson 5
Date 
(DD-MMM-YYYY)]])</f>
        <v>#REF!</v>
      </c>
      <c r="BG16" s="65"/>
      <c r="BH16" s="66"/>
      <c r="BI16" s="67"/>
      <c r="BJ16" s="68"/>
      <c r="BK16" s="64" t="e">
        <f>WEEKDAY([8]!Sheet_1_Table_1_13[[#This Row],[Lesson 6
Date 
(DD-MMM-YYYY)]])</f>
        <v>#REF!</v>
      </c>
      <c r="BL16" s="65"/>
      <c r="BM16" s="66"/>
      <c r="BN16" s="66"/>
      <c r="BO16" s="54"/>
      <c r="BP16" s="69"/>
      <c r="BQ16" s="55"/>
      <c r="BR16" s="57" t="s">
        <v>265</v>
      </c>
      <c r="BS16" s="52"/>
      <c r="BT16" s="56"/>
      <c r="BU16" s="56"/>
      <c r="BV16" s="70"/>
      <c r="BW16" s="60"/>
      <c r="BX16" s="71"/>
      <c r="BY16" s="56"/>
      <c r="BZ16" s="56"/>
      <c r="CA16" s="56"/>
      <c r="CB16" s="72"/>
      <c r="CC16" s="72"/>
      <c r="CD16" s="71"/>
      <c r="CE16" s="60" t="s">
        <v>150</v>
      </c>
      <c r="CF16" s="164" t="s">
        <v>151</v>
      </c>
      <c r="CG16" s="56" t="s">
        <v>152</v>
      </c>
      <c r="CH16" s="291" t="s">
        <v>153</v>
      </c>
      <c r="CI16" s="52" t="s">
        <v>146</v>
      </c>
      <c r="CJ16" s="52" t="s">
        <v>142</v>
      </c>
      <c r="CK16" s="52" t="s">
        <v>142</v>
      </c>
      <c r="CL16" s="52" t="s">
        <v>146</v>
      </c>
      <c r="CM16" s="52" t="s">
        <v>142</v>
      </c>
      <c r="CN16" s="52" t="s">
        <v>142</v>
      </c>
      <c r="CO16" s="52" t="s">
        <v>142</v>
      </c>
      <c r="CP16" s="52" t="s">
        <v>142</v>
      </c>
      <c r="CQ16" s="52" t="s">
        <v>142</v>
      </c>
      <c r="CR16" s="52" t="s">
        <v>142</v>
      </c>
      <c r="CS16" s="52" t="s">
        <v>146</v>
      </c>
      <c r="CT16" s="52" t="s">
        <v>146</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N16" s="790"/>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s="415" customFormat="1" ht="157.5">
      <c r="A17" s="386">
        <v>15</v>
      </c>
      <c r="B17" s="49">
        <v>202609</v>
      </c>
      <c r="C17" s="387"/>
      <c r="D17" s="387"/>
      <c r="E17" s="388"/>
      <c r="F17" s="389" t="s">
        <v>134</v>
      </c>
      <c r="G17" s="388" t="s">
        <v>135</v>
      </c>
      <c r="H17" s="390" t="s">
        <v>175</v>
      </c>
      <c r="I17" s="391" t="s">
        <v>176</v>
      </c>
      <c r="J17" s="653" t="s">
        <v>266</v>
      </c>
      <c r="K17" s="654" t="s">
        <v>267</v>
      </c>
      <c r="L17" s="391"/>
      <c r="M17" s="655" t="s">
        <v>268</v>
      </c>
      <c r="N17" s="656" t="s">
        <v>269</v>
      </c>
      <c r="O17" s="392" t="s">
        <v>142</v>
      </c>
      <c r="P17" s="392" t="s">
        <v>142</v>
      </c>
      <c r="Q17" s="657" t="s">
        <v>143</v>
      </c>
      <c r="R17" s="393" t="str">
        <f>VLOOKUP(Sheet_1_Table_1_137[[#This Row],[Learning Domain]],[7]List!$A$7:$B$12,2,0)</f>
        <v>CELD</v>
      </c>
      <c r="S17" s="394">
        <v>100</v>
      </c>
      <c r="T17" s="394">
        <v>0</v>
      </c>
      <c r="U17" s="394">
        <v>0</v>
      </c>
      <c r="V17" s="394">
        <v>0</v>
      </c>
      <c r="W17" s="394">
        <v>0</v>
      </c>
      <c r="X17" s="394">
        <v>0</v>
      </c>
      <c r="Y17" s="394">
        <v>0</v>
      </c>
      <c r="Z17" s="394">
        <v>0</v>
      </c>
      <c r="AA17" s="394">
        <v>0</v>
      </c>
      <c r="AB17" s="53">
        <f>SUM(Sheet_1_Table_1_137[[#This Row],[Leadership LS]:[Career Development  CR]])</f>
        <v>100</v>
      </c>
      <c r="AC17" s="389" t="s">
        <v>245</v>
      </c>
      <c r="AD17" s="394" t="s">
        <v>190</v>
      </c>
      <c r="AE17" s="394" t="s">
        <v>142</v>
      </c>
      <c r="AF17" s="394" t="s">
        <v>146</v>
      </c>
      <c r="AG17" s="394" t="s">
        <v>142</v>
      </c>
      <c r="AH17" s="394">
        <v>6</v>
      </c>
      <c r="AI17" s="394">
        <v>30</v>
      </c>
      <c r="AJ17" s="395">
        <f>Sheet_1_Table_1_137[[#This Row],[ILP Units Per Session]]*Sheet_1_Table_1_137[[#This Row],[Quota]]</f>
        <v>180</v>
      </c>
      <c r="AK17" s="396">
        <v>46356</v>
      </c>
      <c r="AL17" s="64">
        <f>WEEKDAY(Sheet_1_Table_1_137[[#This Row],[Lesson 1 
Date 
(DD-MMM-YYYY)]]
)</f>
        <v>2</v>
      </c>
      <c r="AM17" s="398">
        <v>0.375</v>
      </c>
      <c r="AN17" s="399">
        <v>0.75</v>
      </c>
      <c r="AO17" s="400"/>
      <c r="AP17" s="401"/>
      <c r="AQ17" s="397">
        <f>WEEKDAY(Sheet_1_Table_1_137[[#This Row],[Lesson 1 
Date 
(DD-MMM-YYYY)]])</f>
        <v>2</v>
      </c>
      <c r="AR17" s="398"/>
      <c r="AS17" s="399"/>
      <c r="AT17" s="399"/>
      <c r="AU17" s="396"/>
      <c r="AV17" s="397" t="e">
        <f>WEEKDAY([8]!Sheet_1_Table_1_13[[#This Row],[Lesson 3
Date 
(DD-MMM-YYYY)]])</f>
        <v>#REF!</v>
      </c>
      <c r="AW17" s="398"/>
      <c r="AX17" s="399"/>
      <c r="AY17" s="400"/>
      <c r="AZ17" s="401"/>
      <c r="BA17" s="397" t="e">
        <f>WEEKDAY([8]!Sheet_1_Table_1_13[[#This Row],[Lesson 4
Date 
(DD-MMM-YYYY)]])</f>
        <v>#REF!</v>
      </c>
      <c r="BB17" s="398"/>
      <c r="BC17" s="399"/>
      <c r="BD17" s="399"/>
      <c r="BE17" s="396"/>
      <c r="BF17" s="397" t="e">
        <f>WEEKDAY([8]!Sheet_1_Table_1_13[[#This Row],[Lesson 5
Date 
(DD-MMM-YYYY)]])</f>
        <v>#REF!</v>
      </c>
      <c r="BG17" s="398"/>
      <c r="BH17" s="399"/>
      <c r="BI17" s="400"/>
      <c r="BJ17" s="401"/>
      <c r="BK17" s="397" t="e">
        <f>WEEKDAY([8]!Sheet_1_Table_1_13[[#This Row],[Lesson 6
Date 
(DD-MMM-YYYY)]])</f>
        <v>#REF!</v>
      </c>
      <c r="BL17" s="398"/>
      <c r="BM17" s="399"/>
      <c r="BN17" s="399"/>
      <c r="BO17" s="402"/>
      <c r="BP17" s="403"/>
      <c r="BQ17" s="394"/>
      <c r="BR17" s="658" t="s">
        <v>270</v>
      </c>
      <c r="BS17" s="389"/>
      <c r="BT17" s="404"/>
      <c r="BU17" s="404"/>
      <c r="BV17" s="405"/>
      <c r="BW17" s="406"/>
      <c r="BX17" s="407"/>
      <c r="BY17" s="404"/>
      <c r="BZ17" s="404"/>
      <c r="CA17" s="404"/>
      <c r="CB17" s="408"/>
      <c r="CC17" s="408"/>
      <c r="CD17" s="407"/>
      <c r="CE17" s="406" t="s">
        <v>150</v>
      </c>
      <c r="CF17" s="409" t="s">
        <v>151</v>
      </c>
      <c r="CG17" s="404" t="s">
        <v>271</v>
      </c>
      <c r="CH17" s="410" t="s">
        <v>272</v>
      </c>
      <c r="CI17" s="389" t="s">
        <v>142</v>
      </c>
      <c r="CJ17" s="389" t="s">
        <v>142</v>
      </c>
      <c r="CK17" s="389" t="s">
        <v>142</v>
      </c>
      <c r="CL17" s="389" t="s">
        <v>142</v>
      </c>
      <c r="CM17" s="389" t="s">
        <v>146</v>
      </c>
      <c r="CN17" s="389" t="s">
        <v>142</v>
      </c>
      <c r="CO17" s="389" t="s">
        <v>142</v>
      </c>
      <c r="CP17" s="389" t="s">
        <v>142</v>
      </c>
      <c r="CQ17" s="389" t="s">
        <v>142</v>
      </c>
      <c r="CR17" s="389" t="s">
        <v>142</v>
      </c>
      <c r="CS17" s="389" t="s">
        <v>142</v>
      </c>
      <c r="CT17" s="389" t="s">
        <v>142</v>
      </c>
      <c r="CU17" s="389" t="s">
        <v>142</v>
      </c>
      <c r="CV17" s="389" t="s">
        <v>142</v>
      </c>
      <c r="CW17" s="389" t="s">
        <v>142</v>
      </c>
      <c r="CX17" s="389" t="s">
        <v>142</v>
      </c>
      <c r="CY17" s="389" t="s">
        <v>142</v>
      </c>
      <c r="CZ17" s="411" t="s">
        <v>142</v>
      </c>
      <c r="DA17" s="402" t="s">
        <v>154</v>
      </c>
      <c r="DB17" s="387" t="s">
        <v>155</v>
      </c>
      <c r="DC17" s="387" t="s">
        <v>156</v>
      </c>
      <c r="DD17" s="387" t="s">
        <v>146</v>
      </c>
      <c r="DE17" s="387" t="s">
        <v>157</v>
      </c>
      <c r="DF17" s="387" t="s">
        <v>146</v>
      </c>
      <c r="DG17" s="412"/>
      <c r="DH17" s="412"/>
      <c r="DI17" s="413"/>
      <c r="DJ17" s="412"/>
      <c r="DK17" s="394" t="s">
        <v>146</v>
      </c>
      <c r="DL17" s="394" t="s">
        <v>146</v>
      </c>
      <c r="DM17" s="394" t="s">
        <v>146</v>
      </c>
      <c r="DN17" s="835"/>
      <c r="DO17" s="414"/>
      <c r="DP17" s="414"/>
      <c r="DQ17" s="414"/>
      <c r="DR17" s="414"/>
      <c r="DS17" s="414"/>
    </row>
    <row r="18" spans="1:156" s="415" customFormat="1" ht="78.75">
      <c r="A18" s="386">
        <v>16</v>
      </c>
      <c r="B18" s="49">
        <v>202609</v>
      </c>
      <c r="C18" s="387"/>
      <c r="D18" s="387"/>
      <c r="E18" s="388"/>
      <c r="F18" s="389" t="s">
        <v>134</v>
      </c>
      <c r="G18" s="388" t="s">
        <v>135</v>
      </c>
      <c r="H18" s="390" t="s">
        <v>175</v>
      </c>
      <c r="I18" s="391" t="s">
        <v>176</v>
      </c>
      <c r="J18" s="653" t="s">
        <v>273</v>
      </c>
      <c r="K18" s="654" t="s">
        <v>274</v>
      </c>
      <c r="L18" s="391"/>
      <c r="M18" s="655" t="s">
        <v>275</v>
      </c>
      <c r="N18" s="656" t="s">
        <v>276</v>
      </c>
      <c r="O18" s="392" t="s">
        <v>142</v>
      </c>
      <c r="P18" s="392" t="s">
        <v>142</v>
      </c>
      <c r="Q18" s="657" t="s">
        <v>143</v>
      </c>
      <c r="R18" s="387" t="str">
        <f>VLOOKUP(Sheet_1_Table_1_137[[#This Row],[Learning Domain]],[7]List!$A$7:$B$12,2,0)</f>
        <v>CELD</v>
      </c>
      <c r="S18" s="394">
        <v>80</v>
      </c>
      <c r="T18" s="394">
        <v>0</v>
      </c>
      <c r="U18" s="394">
        <v>0</v>
      </c>
      <c r="V18" s="394">
        <v>0</v>
      </c>
      <c r="W18" s="394">
        <v>0</v>
      </c>
      <c r="X18" s="394">
        <v>20</v>
      </c>
      <c r="Y18" s="394">
        <v>0</v>
      </c>
      <c r="Z18" s="394">
        <v>0</v>
      </c>
      <c r="AA18" s="394">
        <v>0</v>
      </c>
      <c r="AB18" s="53">
        <f>SUM(Sheet_1_Table_1_137[[#This Row],[Leadership LS]:[Career Development  CR]])</f>
        <v>100</v>
      </c>
      <c r="AC18" s="389" t="s">
        <v>245</v>
      </c>
      <c r="AD18" s="394" t="s">
        <v>190</v>
      </c>
      <c r="AE18" s="394" t="s">
        <v>142</v>
      </c>
      <c r="AF18" s="394" t="s">
        <v>146</v>
      </c>
      <c r="AG18" s="394" t="s">
        <v>142</v>
      </c>
      <c r="AH18" s="394">
        <v>12</v>
      </c>
      <c r="AI18" s="394">
        <v>15</v>
      </c>
      <c r="AJ18" s="395">
        <f>Sheet_1_Table_1_137[[#This Row],[ILP Units Per Session]]*Sheet_1_Table_1_137[[#This Row],[Quota]]</f>
        <v>180</v>
      </c>
      <c r="AK18" s="396">
        <v>46356</v>
      </c>
      <c r="AL18" s="64">
        <f>WEEKDAY(Sheet_1_Table_1_137[[#This Row],[Lesson 1 
Date 
(DD-MMM-YYYY)]]
)</f>
        <v>2</v>
      </c>
      <c r="AM18" s="398">
        <v>0.375</v>
      </c>
      <c r="AN18" s="399">
        <v>0.75</v>
      </c>
      <c r="AO18" s="400"/>
      <c r="AP18" s="401"/>
      <c r="AQ18" s="397">
        <f>WEEKDAY(Sheet_1_Table_1_137[[#This Row],[Lesson 1 
Date 
(DD-MMM-YYYY)]])</f>
        <v>2</v>
      </c>
      <c r="AR18" s="398"/>
      <c r="AS18" s="399"/>
      <c r="AT18" s="399"/>
      <c r="AU18" s="396"/>
      <c r="AV18" s="397" t="e">
        <f>WEEKDAY([8]!Sheet_1_Table_1_13[[#This Row],[Lesson 3
Date 
(DD-MMM-YYYY)]])</f>
        <v>#REF!</v>
      </c>
      <c r="AW18" s="398"/>
      <c r="AX18" s="399"/>
      <c r="AY18" s="400"/>
      <c r="AZ18" s="401"/>
      <c r="BA18" s="397" t="e">
        <f>WEEKDAY([8]!Sheet_1_Table_1_13[[#This Row],[Lesson 4
Date 
(DD-MMM-YYYY)]])</f>
        <v>#REF!</v>
      </c>
      <c r="BB18" s="398"/>
      <c r="BC18" s="399"/>
      <c r="BD18" s="399"/>
      <c r="BE18" s="396"/>
      <c r="BF18" s="397" t="e">
        <f>WEEKDAY([8]!Sheet_1_Table_1_13[[#This Row],[Lesson 5
Date 
(DD-MMM-YYYY)]])</f>
        <v>#REF!</v>
      </c>
      <c r="BG18" s="398"/>
      <c r="BH18" s="399"/>
      <c r="BI18" s="400"/>
      <c r="BJ18" s="401"/>
      <c r="BK18" s="397" t="e">
        <f>WEEKDAY([8]!Sheet_1_Table_1_13[[#This Row],[Lesson 6
Date 
(DD-MMM-YYYY)]])</f>
        <v>#REF!</v>
      </c>
      <c r="BL18" s="398"/>
      <c r="BM18" s="399"/>
      <c r="BN18" s="399"/>
      <c r="BO18" s="402"/>
      <c r="BP18" s="403"/>
      <c r="BQ18" s="394"/>
      <c r="BR18" s="416"/>
      <c r="BS18" s="389"/>
      <c r="BT18" s="404"/>
      <c r="BU18" s="404"/>
      <c r="BV18" s="405"/>
      <c r="BW18" s="406"/>
      <c r="BX18" s="407"/>
      <c r="BY18" s="404"/>
      <c r="BZ18" s="404"/>
      <c r="CA18" s="404"/>
      <c r="CB18" s="408"/>
      <c r="CC18" s="408"/>
      <c r="CD18" s="407"/>
      <c r="CE18" s="659" t="s">
        <v>277</v>
      </c>
      <c r="CF18" s="417" t="s">
        <v>278</v>
      </c>
      <c r="CG18" s="660" t="s">
        <v>279</v>
      </c>
      <c r="CH18" s="418" t="s">
        <v>280</v>
      </c>
      <c r="CI18" s="661" t="s">
        <v>146</v>
      </c>
      <c r="CJ18" s="661" t="s">
        <v>142</v>
      </c>
      <c r="CK18" s="661" t="s">
        <v>142</v>
      </c>
      <c r="CL18" s="661" t="s">
        <v>142</v>
      </c>
      <c r="CM18" s="661" t="s">
        <v>146</v>
      </c>
      <c r="CN18" s="661" t="s">
        <v>142</v>
      </c>
      <c r="CO18" s="661" t="s">
        <v>142</v>
      </c>
      <c r="CP18" s="661" t="s">
        <v>142</v>
      </c>
      <c r="CQ18" s="661" t="s">
        <v>142</v>
      </c>
      <c r="CR18" s="661" t="s">
        <v>142</v>
      </c>
      <c r="CS18" s="661" t="s">
        <v>142</v>
      </c>
      <c r="CT18" s="661" t="s">
        <v>142</v>
      </c>
      <c r="CU18" s="661" t="s">
        <v>142</v>
      </c>
      <c r="CV18" s="661" t="s">
        <v>142</v>
      </c>
      <c r="CW18" s="661" t="s">
        <v>142</v>
      </c>
      <c r="CX18" s="661" t="s">
        <v>142</v>
      </c>
      <c r="CY18" s="661" t="s">
        <v>142</v>
      </c>
      <c r="CZ18" s="662" t="s">
        <v>142</v>
      </c>
      <c r="DA18" s="402" t="s">
        <v>154</v>
      </c>
      <c r="DB18" s="387" t="s">
        <v>155</v>
      </c>
      <c r="DC18" s="387" t="s">
        <v>156</v>
      </c>
      <c r="DD18" s="387" t="s">
        <v>146</v>
      </c>
      <c r="DE18" s="387" t="s">
        <v>157</v>
      </c>
      <c r="DF18" s="387" t="s">
        <v>146</v>
      </c>
      <c r="DG18" s="412"/>
      <c r="DH18" s="412"/>
      <c r="DI18" s="413"/>
      <c r="DJ18" s="412"/>
      <c r="DK18" s="394" t="s">
        <v>146</v>
      </c>
      <c r="DL18" s="394" t="s">
        <v>146</v>
      </c>
      <c r="DM18" s="394" t="s">
        <v>146</v>
      </c>
      <c r="DN18" s="835"/>
      <c r="DO18" s="414"/>
      <c r="DP18" s="414"/>
      <c r="DQ18" s="414"/>
      <c r="DR18" s="414"/>
      <c r="DS18" s="414"/>
    </row>
    <row r="19" spans="1:156" ht="80.099999999999994" customHeight="1">
      <c r="A19" s="48">
        <v>18</v>
      </c>
      <c r="B19" s="49">
        <v>202609</v>
      </c>
      <c r="C19" s="50" t="s">
        <v>281</v>
      </c>
      <c r="D19" s="50" t="s">
        <v>282</v>
      </c>
      <c r="E19" s="51">
        <v>6024</v>
      </c>
      <c r="F19" s="461" t="s">
        <v>134</v>
      </c>
      <c r="G19" s="462" t="s">
        <v>157</v>
      </c>
      <c r="H19" s="663" t="s">
        <v>283</v>
      </c>
      <c r="I19" s="647" t="s">
        <v>284</v>
      </c>
      <c r="J19" s="643" t="s">
        <v>283</v>
      </c>
      <c r="K19" s="630" t="s">
        <v>285</v>
      </c>
      <c r="L19" s="634"/>
      <c r="M19" s="630" t="s">
        <v>286</v>
      </c>
      <c r="N19" s="635" t="s">
        <v>287</v>
      </c>
      <c r="O19" s="632" t="s">
        <v>146</v>
      </c>
      <c r="P19" s="664" t="s">
        <v>146</v>
      </c>
      <c r="Q19" s="652" t="s">
        <v>143</v>
      </c>
      <c r="R19" s="387" t="str">
        <f>VLOOKUP(Sheet_1_Table_1_137[[#This Row],[Learning Domain]],[7]List!$A$7:$B$12,2,0)</f>
        <v>CELD</v>
      </c>
      <c r="S19" s="634">
        <v>50</v>
      </c>
      <c r="T19" s="634">
        <v>0</v>
      </c>
      <c r="U19" s="634">
        <v>0</v>
      </c>
      <c r="V19" s="634">
        <v>0</v>
      </c>
      <c r="W19" s="634">
        <v>0</v>
      </c>
      <c r="X19" s="634">
        <v>0</v>
      </c>
      <c r="Y19" s="634">
        <v>0</v>
      </c>
      <c r="Z19" s="634">
        <v>50</v>
      </c>
      <c r="AA19" s="634">
        <v>0</v>
      </c>
      <c r="AB19" s="462">
        <v>100</v>
      </c>
      <c r="AC19" s="461" t="s">
        <v>199</v>
      </c>
      <c r="AD19" s="634" t="s">
        <v>190</v>
      </c>
      <c r="AE19" s="634" t="s">
        <v>146</v>
      </c>
      <c r="AF19" s="634" t="s">
        <v>146</v>
      </c>
      <c r="AG19" s="634" t="s">
        <v>142</v>
      </c>
      <c r="AH19" s="634">
        <v>12</v>
      </c>
      <c r="AI19" s="634">
        <v>60</v>
      </c>
      <c r="AJ19" s="665">
        <f>SUM(Sheet_1_Table_1_137[[#This Row],[ILP Units Per Session]]*Sheet_1_Table_1_137[[#This Row],[Quota]])</f>
        <v>720</v>
      </c>
      <c r="AK19" s="666">
        <v>46284</v>
      </c>
      <c r="AL19" s="64">
        <f>WEEKDAY(Sheet_1_Table_1_137[[#This Row],[Lesson 1 
Date 
(DD-MMM-YYYY)]]
)</f>
        <v>7</v>
      </c>
      <c r="AM19" s="668">
        <v>0.41666666666666669</v>
      </c>
      <c r="AN19" s="669">
        <v>0.70833333333333337</v>
      </c>
      <c r="AO19" s="670" t="s">
        <v>147</v>
      </c>
      <c r="AP19" s="671">
        <v>46285</v>
      </c>
      <c r="AQ19" s="667" t="s">
        <v>288</v>
      </c>
      <c r="AR19" s="668">
        <v>0.41666666666666669</v>
      </c>
      <c r="AS19" s="669">
        <v>0.70833333333333337</v>
      </c>
      <c r="AT19" s="670" t="s">
        <v>147</v>
      </c>
      <c r="AU19" s="666"/>
      <c r="AV19" s="667" t="e">
        <f>WEEKDAY([8]!Sheet_1_Table_1_13[[#This Row],[Lesson 3
Date 
(DD-MMM-YYYY)]])</f>
        <v>#REF!</v>
      </c>
      <c r="AW19" s="668"/>
      <c r="AX19" s="669"/>
      <c r="AY19" s="670"/>
      <c r="AZ19" s="671"/>
      <c r="BA19" s="667" t="e">
        <f>WEEKDAY([8]!Sheet_1_Table_1_13[[#This Row],[Lesson 4
Date 
(DD-MMM-YYYY)]])</f>
        <v>#REF!</v>
      </c>
      <c r="BB19" s="668"/>
      <c r="BC19" s="669"/>
      <c r="BD19" s="669"/>
      <c r="BE19" s="666"/>
      <c r="BF19" s="667" t="e">
        <f>WEEKDAY([8]!Sheet_1_Table_1_13[[#This Row],[Lesson 5
Date 
(DD-MMM-YYYY)]])</f>
        <v>#REF!</v>
      </c>
      <c r="BG19" s="668"/>
      <c r="BH19" s="669"/>
      <c r="BI19" s="670"/>
      <c r="BJ19" s="671"/>
      <c r="BK19" s="667" t="e">
        <f>WEEKDAY([8]!Sheet_1_Table_1_13[[#This Row],[Lesson 6
Date 
(DD-MMM-YYYY)]])</f>
        <v>#REF!</v>
      </c>
      <c r="BL19" s="668"/>
      <c r="BM19" s="669"/>
      <c r="BN19" s="669"/>
      <c r="BO19" s="461" t="s">
        <v>289</v>
      </c>
      <c r="BP19" s="633" t="s">
        <v>290</v>
      </c>
      <c r="BQ19" s="634" t="s">
        <v>291</v>
      </c>
      <c r="BR19" s="635" t="s">
        <v>292</v>
      </c>
      <c r="BS19" s="461" t="s">
        <v>293</v>
      </c>
      <c r="BT19" s="419" t="s">
        <v>294</v>
      </c>
      <c r="BU19" s="419" t="s">
        <v>295</v>
      </c>
      <c r="BV19" s="647" t="s">
        <v>296</v>
      </c>
      <c r="BW19" s="643"/>
      <c r="BX19" s="672"/>
      <c r="BY19" s="630"/>
      <c r="BZ19" s="630"/>
      <c r="CA19" s="630" t="s">
        <v>297</v>
      </c>
      <c r="CB19" s="652"/>
      <c r="CC19" s="652"/>
      <c r="CD19" s="672"/>
      <c r="CE19" s="643" t="s">
        <v>298</v>
      </c>
      <c r="CF19" s="420" t="s">
        <v>299</v>
      </c>
      <c r="CG19" s="630" t="s">
        <v>300</v>
      </c>
      <c r="CH19" s="635" t="s">
        <v>301</v>
      </c>
      <c r="CI19" s="461" t="s">
        <v>146</v>
      </c>
      <c r="CJ19" s="461" t="s">
        <v>142</v>
      </c>
      <c r="CK19" s="461" t="s">
        <v>142</v>
      </c>
      <c r="CL19" s="461" t="s">
        <v>142</v>
      </c>
      <c r="CM19" s="461" t="s">
        <v>146</v>
      </c>
      <c r="CN19" s="461" t="s">
        <v>142</v>
      </c>
      <c r="CO19" s="461" t="s">
        <v>142</v>
      </c>
      <c r="CP19" s="461" t="s">
        <v>142</v>
      </c>
      <c r="CQ19" s="461" t="s">
        <v>142</v>
      </c>
      <c r="CR19" s="461" t="s">
        <v>142</v>
      </c>
      <c r="CS19" s="461" t="s">
        <v>146</v>
      </c>
      <c r="CT19" s="461" t="s">
        <v>142</v>
      </c>
      <c r="CU19" s="461" t="s">
        <v>142</v>
      </c>
      <c r="CV19" s="461" t="s">
        <v>142</v>
      </c>
      <c r="CW19" s="461" t="s">
        <v>142</v>
      </c>
      <c r="CX19" s="461" t="s">
        <v>142</v>
      </c>
      <c r="CY19" s="461" t="s">
        <v>142</v>
      </c>
      <c r="CZ19" s="645" t="s">
        <v>142</v>
      </c>
      <c r="DA19" s="550" t="s">
        <v>154</v>
      </c>
      <c r="DB19" s="673" t="s">
        <v>155</v>
      </c>
      <c r="DC19" s="673" t="s">
        <v>156</v>
      </c>
      <c r="DD19" s="673" t="s">
        <v>146</v>
      </c>
      <c r="DE19" s="673" t="s">
        <v>157</v>
      </c>
      <c r="DF19" s="673" t="s">
        <v>146</v>
      </c>
      <c r="DG19" s="674"/>
      <c r="DH19" s="674"/>
      <c r="DI19" s="674"/>
      <c r="DJ19" s="674"/>
      <c r="DK19" s="76" t="s">
        <v>146</v>
      </c>
      <c r="DL19" s="76" t="s">
        <v>146</v>
      </c>
      <c r="DM19" s="76" t="s">
        <v>146</v>
      </c>
      <c r="DN19" s="790"/>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19</v>
      </c>
      <c r="B20" s="49">
        <v>202609</v>
      </c>
      <c r="C20" s="50" t="s">
        <v>302</v>
      </c>
      <c r="D20" s="50" t="s">
        <v>205</v>
      </c>
      <c r="E20" s="51">
        <v>5821</v>
      </c>
      <c r="F20" s="52" t="s">
        <v>303</v>
      </c>
      <c r="G20" s="53"/>
      <c r="H20" s="97" t="s">
        <v>304</v>
      </c>
      <c r="I20" s="53" t="s">
        <v>305</v>
      </c>
      <c r="J20" s="60" t="s">
        <v>306</v>
      </c>
      <c r="K20" s="55" t="s">
        <v>307</v>
      </c>
      <c r="L20" s="55"/>
      <c r="M20" s="56" t="s">
        <v>308</v>
      </c>
      <c r="N20" s="742" t="s">
        <v>309</v>
      </c>
      <c r="O20" s="58" t="s">
        <v>146</v>
      </c>
      <c r="P20" s="59" t="s">
        <v>146</v>
      </c>
      <c r="Q20" s="60" t="s">
        <v>143</v>
      </c>
      <c r="R20" s="387" t="str">
        <f>VLOOKUP(Sheet_1_Table_1_137[[#This Row],[Learning Domain]],[7]List!$A$7:$B$12,2,0)</f>
        <v>CELD</v>
      </c>
      <c r="S20" s="55">
        <v>0</v>
      </c>
      <c r="T20" s="55">
        <v>0</v>
      </c>
      <c r="U20" s="55">
        <v>0</v>
      </c>
      <c r="V20" s="55">
        <v>30</v>
      </c>
      <c r="W20" s="55">
        <v>0</v>
      </c>
      <c r="X20" s="55">
        <v>0</v>
      </c>
      <c r="Y20" s="55">
        <v>70</v>
      </c>
      <c r="Z20" s="55">
        <v>0</v>
      </c>
      <c r="AA20" s="55">
        <v>0</v>
      </c>
      <c r="AB20" s="53" t="e">
        <f>SUM([3]!Sheet_1_Table_1_13[[#This Row],[Leadership LS]:[Career Development  CR]])</f>
        <v>#REF!</v>
      </c>
      <c r="AC20" s="52" t="s">
        <v>245</v>
      </c>
      <c r="AD20" s="55" t="s">
        <v>190</v>
      </c>
      <c r="AE20" s="55" t="s">
        <v>146</v>
      </c>
      <c r="AF20" s="55" t="s">
        <v>146</v>
      </c>
      <c r="AG20" s="55" t="s">
        <v>142</v>
      </c>
      <c r="AH20" s="359">
        <v>1.5</v>
      </c>
      <c r="AI20" s="55">
        <v>20</v>
      </c>
      <c r="AJ20" s="665">
        <f>SUM(Sheet_1_Table_1_137[[#This Row],[ILP Units Per Session]]*Sheet_1_Table_1_137[[#This Row],[Quota]])</f>
        <v>30</v>
      </c>
      <c r="AK20" s="365">
        <v>46330</v>
      </c>
      <c r="AL20" s="64">
        <f>WEEKDAY(Sheet_1_Table_1_137[[#This Row],[Lesson 1 
Date 
(DD-MMM-YYYY)]]
)</f>
        <v>4</v>
      </c>
      <c r="AM20" s="363">
        <v>0.60416666666666663</v>
      </c>
      <c r="AN20" s="364">
        <v>0.66666666666666663</v>
      </c>
      <c r="AO20" s="67" t="s">
        <v>310</v>
      </c>
      <c r="AP20" s="68"/>
      <c r="AQ20" s="64" t="e">
        <f>WEEKDAY([3]!Sheet_1_Table_1_13[[#This Row],[Lesson 2
Date 
(DD-MMM-YYYY)]])</f>
        <v>#REF!</v>
      </c>
      <c r="AR20" s="65"/>
      <c r="AS20" s="66"/>
      <c r="AT20" s="66"/>
      <c r="AU20" s="63"/>
      <c r="AV20" s="64" t="e">
        <f>WEEKDAY([8]!Sheet_1_Table_1_13[[#This Row],[Lesson 3
Date 
(DD-MMM-YYYY)]])</f>
        <v>#REF!</v>
      </c>
      <c r="AW20" s="65"/>
      <c r="AX20" s="66"/>
      <c r="AY20" s="67"/>
      <c r="AZ20" s="68"/>
      <c r="BA20" s="64" t="e">
        <f>WEEKDAY([8]!Sheet_1_Table_1_13[[#This Row],[Lesson 4
Date 
(DD-MMM-YYYY)]])</f>
        <v>#REF!</v>
      </c>
      <c r="BB20" s="65"/>
      <c r="BC20" s="66"/>
      <c r="BD20" s="66"/>
      <c r="BE20" s="63"/>
      <c r="BF20" s="64" t="e">
        <f>WEEKDAY([8]!Sheet_1_Table_1_13[[#This Row],[Lesson 5
Date 
(DD-MMM-YYYY)]])</f>
        <v>#REF!</v>
      </c>
      <c r="BG20" s="65"/>
      <c r="BH20" s="66"/>
      <c r="BI20" s="67"/>
      <c r="BJ20" s="68"/>
      <c r="BK20" s="64" t="e">
        <f>WEEKDAY([8]!Sheet_1_Table_1_13[[#This Row],[Lesson 6
Date 
(DD-MMM-YYYY)]])</f>
        <v>#REF!</v>
      </c>
      <c r="BL20" s="65"/>
      <c r="BM20" s="66"/>
      <c r="BN20" s="66"/>
      <c r="BO20" s="54"/>
      <c r="BP20" s="209"/>
      <c r="BQ20" s="55"/>
      <c r="BR20" s="209" t="s">
        <v>311</v>
      </c>
      <c r="BS20" s="52"/>
      <c r="BT20" s="56"/>
      <c r="BU20" s="56"/>
      <c r="BV20" s="70"/>
      <c r="BW20" s="60">
        <v>0</v>
      </c>
      <c r="BX20" s="71">
        <v>100</v>
      </c>
      <c r="BY20" s="743">
        <v>0.57638888888888884</v>
      </c>
      <c r="BZ20" s="744" t="s">
        <v>312</v>
      </c>
      <c r="CA20" s="56" t="s">
        <v>149</v>
      </c>
      <c r="CB20" s="72"/>
      <c r="CC20" s="72"/>
      <c r="CD20" s="71"/>
      <c r="CE20" s="214" t="s">
        <v>313</v>
      </c>
      <c r="CF20" s="464" t="s">
        <v>314</v>
      </c>
      <c r="CG20" s="56"/>
      <c r="CH20" s="57"/>
      <c r="CI20" s="52" t="s">
        <v>146</v>
      </c>
      <c r="CJ20" s="52" t="s">
        <v>142</v>
      </c>
      <c r="CK20" s="52" t="s">
        <v>142</v>
      </c>
      <c r="CL20" s="52" t="s">
        <v>146</v>
      </c>
      <c r="CM20" s="52" t="s">
        <v>142</v>
      </c>
      <c r="CN20" s="52" t="s">
        <v>142</v>
      </c>
      <c r="CO20" s="52" t="s">
        <v>142</v>
      </c>
      <c r="CP20" s="52" t="s">
        <v>142</v>
      </c>
      <c r="CQ20" s="52" t="s">
        <v>142</v>
      </c>
      <c r="CR20" s="52" t="s">
        <v>142</v>
      </c>
      <c r="CS20" s="52" t="s">
        <v>142</v>
      </c>
      <c r="CT20" s="52" t="s">
        <v>146</v>
      </c>
      <c r="CU20" s="52" t="s">
        <v>142</v>
      </c>
      <c r="CV20" s="52" t="s">
        <v>146</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N20" s="790"/>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20</v>
      </c>
      <c r="B21" s="49">
        <v>202609</v>
      </c>
      <c r="C21" s="50" t="s">
        <v>315</v>
      </c>
      <c r="D21" s="50" t="s">
        <v>133</v>
      </c>
      <c r="E21" s="51">
        <v>5823</v>
      </c>
      <c r="F21" s="52" t="s">
        <v>316</v>
      </c>
      <c r="G21" s="53" t="s">
        <v>157</v>
      </c>
      <c r="H21" s="97" t="s">
        <v>304</v>
      </c>
      <c r="I21" s="53" t="s">
        <v>305</v>
      </c>
      <c r="J21" s="224" t="s">
        <v>317</v>
      </c>
      <c r="K21" s="759" t="s">
        <v>318</v>
      </c>
      <c r="L21" s="55">
        <v>1</v>
      </c>
      <c r="M21" s="56" t="s">
        <v>319</v>
      </c>
      <c r="N21" s="70" t="s">
        <v>320</v>
      </c>
      <c r="O21" s="174" t="s">
        <v>142</v>
      </c>
      <c r="P21" s="174" t="s">
        <v>142</v>
      </c>
      <c r="Q21" s="60" t="s">
        <v>143</v>
      </c>
      <c r="R21" s="387" t="str">
        <f>VLOOKUP(Sheet_1_Table_1_137[[#This Row],[Learning Domain]],[7]List!$A$7:$B$12,2,0)</f>
        <v>CELD</v>
      </c>
      <c r="S21" s="55">
        <v>0</v>
      </c>
      <c r="T21" s="55">
        <v>0</v>
      </c>
      <c r="U21" s="55">
        <v>0</v>
      </c>
      <c r="V21" s="55">
        <v>20</v>
      </c>
      <c r="W21" s="55">
        <v>40</v>
      </c>
      <c r="X21" s="55">
        <v>40</v>
      </c>
      <c r="Y21" s="55">
        <v>0</v>
      </c>
      <c r="Z21" s="55">
        <v>0</v>
      </c>
      <c r="AA21" s="55">
        <v>0</v>
      </c>
      <c r="AB21" s="53" t="e">
        <f>SUM([8]!Sheet_1_Table_1_13[[#This Row],[Leadership LS]:[Career Development  CR]])</f>
        <v>#REF!</v>
      </c>
      <c r="AC21" s="52" t="s">
        <v>144</v>
      </c>
      <c r="AD21" s="55" t="s">
        <v>190</v>
      </c>
      <c r="AE21" s="55" t="s">
        <v>146</v>
      </c>
      <c r="AF21" s="55" t="s">
        <v>142</v>
      </c>
      <c r="AG21" s="55" t="s">
        <v>142</v>
      </c>
      <c r="AH21" s="55">
        <v>1</v>
      </c>
      <c r="AI21" s="55">
        <v>100</v>
      </c>
      <c r="AJ21" s="665">
        <f>SUM(Sheet_1_Table_1_137[[#This Row],[ILP Units Per Session]]*Sheet_1_Table_1_137[[#This Row],[Quota]])</f>
        <v>100</v>
      </c>
      <c r="AK21" s="63">
        <v>46283</v>
      </c>
      <c r="AL21" s="64">
        <f>WEEKDAY(Sheet_1_Table_1_137[[#This Row],[Lesson 1 
Date 
(DD-MMM-YYYY)]]
)</f>
        <v>6</v>
      </c>
      <c r="AM21" s="181">
        <v>0.69791666666666663</v>
      </c>
      <c r="AN21" s="182">
        <v>0.73958333333333337</v>
      </c>
      <c r="AO21" s="67" t="s">
        <v>321</v>
      </c>
      <c r="AP21" s="68"/>
      <c r="AQ21" s="64" t="e">
        <f>WEEKDAY([8]!Sheet_1_Table_1_13[[#This Row],[Lesson 2
Date 
(DD-MMM-YYYY)]])</f>
        <v>#REF!</v>
      </c>
      <c r="AR21" s="65"/>
      <c r="AS21" s="66"/>
      <c r="AT21" s="66"/>
      <c r="AU21" s="63"/>
      <c r="AV21" s="64" t="e">
        <f>WEEKDAY([8]!Sheet_1_Table_1_13[[#This Row],[Lesson 3
Date 
(DD-MMM-YYYY)]])</f>
        <v>#REF!</v>
      </c>
      <c r="AW21" s="65"/>
      <c r="AX21" s="66"/>
      <c r="AY21" s="67"/>
      <c r="AZ21" s="68"/>
      <c r="BA21" s="64" t="e">
        <f>WEEKDAY([8]!Sheet_1_Table_1_13[[#This Row],[Lesson 4
Date 
(DD-MMM-YYYY)]])</f>
        <v>#REF!</v>
      </c>
      <c r="BB21" s="65"/>
      <c r="BC21" s="66"/>
      <c r="BD21" s="66"/>
      <c r="BE21" s="63"/>
      <c r="BF21" s="64" t="e">
        <f>WEEKDAY([8]!Sheet_1_Table_1_13[[#This Row],[Lesson 5
Date 
(DD-MMM-YYYY)]])</f>
        <v>#REF!</v>
      </c>
      <c r="BG21" s="65"/>
      <c r="BH21" s="66"/>
      <c r="BI21" s="67"/>
      <c r="BJ21" s="68"/>
      <c r="BK21" s="64" t="e">
        <f>WEEKDAY([8]!Sheet_1_Table_1_13[[#This Row],[Lesson 6
Date 
(DD-MMM-YYYY)]])</f>
        <v>#REF!</v>
      </c>
      <c r="BL21" s="65"/>
      <c r="BM21" s="66"/>
      <c r="BN21" s="66"/>
      <c r="BO21" s="54"/>
      <c r="BP21" s="69"/>
      <c r="BQ21" s="55"/>
      <c r="BR21" s="57" t="s">
        <v>184</v>
      </c>
      <c r="BS21" s="52"/>
      <c r="BT21" s="56"/>
      <c r="BU21" s="56"/>
      <c r="BV21" s="70"/>
      <c r="BW21" s="60"/>
      <c r="BX21" s="71"/>
      <c r="BY21" s="56" t="s">
        <v>149</v>
      </c>
      <c r="BZ21" s="56"/>
      <c r="CA21" s="56" t="s">
        <v>149</v>
      </c>
      <c r="CB21" s="72"/>
      <c r="CC21" s="72"/>
      <c r="CD21" s="71"/>
      <c r="CE21" s="60" t="s">
        <v>322</v>
      </c>
      <c r="CF21" s="71" t="s">
        <v>323</v>
      </c>
      <c r="CG21" s="56" t="s">
        <v>324</v>
      </c>
      <c r="CH21" s="57" t="s">
        <v>325</v>
      </c>
      <c r="CI21" s="52" t="s">
        <v>142</v>
      </c>
      <c r="CJ21" s="52" t="s">
        <v>142</v>
      </c>
      <c r="CK21" s="52" t="s">
        <v>142</v>
      </c>
      <c r="CL21" s="52" t="s">
        <v>142</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N21" s="790"/>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21</v>
      </c>
      <c r="B22" s="49">
        <v>202609</v>
      </c>
      <c r="C22" s="50" t="s">
        <v>315</v>
      </c>
      <c r="D22" s="197" t="s">
        <v>251</v>
      </c>
      <c r="E22" s="198">
        <v>5824</v>
      </c>
      <c r="F22" s="52" t="s">
        <v>316</v>
      </c>
      <c r="G22" s="53" t="s">
        <v>157</v>
      </c>
      <c r="H22" s="97" t="s">
        <v>304</v>
      </c>
      <c r="I22" s="53" t="s">
        <v>305</v>
      </c>
      <c r="J22" s="60" t="s">
        <v>317</v>
      </c>
      <c r="K22" s="69" t="s">
        <v>326</v>
      </c>
      <c r="L22" s="55">
        <v>2</v>
      </c>
      <c r="M22" s="56" t="s">
        <v>319</v>
      </c>
      <c r="N22" s="70" t="s">
        <v>320</v>
      </c>
      <c r="O22" s="55" t="s">
        <v>146</v>
      </c>
      <c r="P22" s="55" t="s">
        <v>146</v>
      </c>
      <c r="Q22" s="60" t="s">
        <v>143</v>
      </c>
      <c r="R22" s="387" t="str">
        <f>VLOOKUP(Sheet_1_Table_1_137[[#This Row],[Learning Domain]],[7]List!$A$7:$B$12,2,0)</f>
        <v>CELD</v>
      </c>
      <c r="S22" s="55">
        <v>0</v>
      </c>
      <c r="T22" s="55">
        <v>0</v>
      </c>
      <c r="U22" s="55">
        <v>0</v>
      </c>
      <c r="V22" s="55">
        <v>20</v>
      </c>
      <c r="W22" s="55">
        <v>40</v>
      </c>
      <c r="X22" s="55">
        <v>40</v>
      </c>
      <c r="Y22" s="55">
        <v>0</v>
      </c>
      <c r="Z22" s="55">
        <v>0</v>
      </c>
      <c r="AA22" s="55">
        <v>0</v>
      </c>
      <c r="AB22" s="53" t="e">
        <f>SUM([8]!Sheet_1_Table_1_13[[#This Row],[Leadership LS]:[Career Development  CR]])</f>
        <v>#REF!</v>
      </c>
      <c r="AC22" s="52" t="s">
        <v>144</v>
      </c>
      <c r="AD22" s="55" t="s">
        <v>190</v>
      </c>
      <c r="AE22" s="55" t="s">
        <v>146</v>
      </c>
      <c r="AF22" s="201" t="s">
        <v>142</v>
      </c>
      <c r="AG22" s="201" t="s">
        <v>142</v>
      </c>
      <c r="AH22" s="201">
        <v>1</v>
      </c>
      <c r="AI22" s="55">
        <v>90</v>
      </c>
      <c r="AJ22" s="665">
        <f>SUM(Sheet_1_Table_1_137[[#This Row],[ILP Units Per Session]]*Sheet_1_Table_1_137[[#This Row],[Quota]])</f>
        <v>90</v>
      </c>
      <c r="AK22" s="203">
        <v>46294</v>
      </c>
      <c r="AL22" s="64">
        <f>WEEKDAY(Sheet_1_Table_1_137[[#This Row],[Lesson 1 
Date 
(DD-MMM-YYYY)]]
)</f>
        <v>3</v>
      </c>
      <c r="AM22" s="181">
        <v>0.69791666666666663</v>
      </c>
      <c r="AN22" s="182">
        <v>0.73958333333333337</v>
      </c>
      <c r="AO22" s="207" t="s">
        <v>321</v>
      </c>
      <c r="AP22" s="68"/>
      <c r="AQ22" s="64" t="e">
        <f>WEEKDAY([8]!Sheet_1_Table_1_13[[#This Row],[Lesson 2
Date 
(DD-MMM-YYYY)]])</f>
        <v>#REF!</v>
      </c>
      <c r="AR22" s="65"/>
      <c r="AS22" s="66"/>
      <c r="AT22" s="66"/>
      <c r="AU22" s="203"/>
      <c r="AV22" s="165" t="e">
        <f>WEEKDAY([8]!Sheet_1_Table_1_13[[#This Row],[Lesson 3
Date 
(DD-MMM-YYYY)]])</f>
        <v>#REF!</v>
      </c>
      <c r="AW22" s="204"/>
      <c r="AX22" s="205"/>
      <c r="AY22" s="207"/>
      <c r="AZ22" s="68"/>
      <c r="BA22" s="64" t="e">
        <f>WEEKDAY([8]!Sheet_1_Table_1_13[[#This Row],[Lesson 4
Date 
(DD-MMM-YYYY)]])</f>
        <v>#REF!</v>
      </c>
      <c r="BB22" s="65"/>
      <c r="BC22" s="66"/>
      <c r="BD22" s="66"/>
      <c r="BE22" s="203"/>
      <c r="BF22" s="165" t="e">
        <f>WEEKDAY([8]!Sheet_1_Table_1_13[[#This Row],[Lesson 5
Date 
(DD-MMM-YYYY)]])</f>
        <v>#REF!</v>
      </c>
      <c r="BG22" s="204"/>
      <c r="BH22" s="205"/>
      <c r="BI22" s="207"/>
      <c r="BJ22" s="68"/>
      <c r="BK22" s="165" t="e">
        <f>WEEKDAY([8]!Sheet_1_Table_1_13[[#This Row],[Lesson 6
Date 
(DD-MMM-YYYY)]])</f>
        <v>#REF!</v>
      </c>
      <c r="BL22" s="204"/>
      <c r="BM22" s="205"/>
      <c r="BN22" s="205"/>
      <c r="BO22" s="208"/>
      <c r="BP22" s="209"/>
      <c r="BQ22" s="201"/>
      <c r="BR22" s="211"/>
      <c r="BS22" s="52"/>
      <c r="BT22" s="209"/>
      <c r="BU22" s="201"/>
      <c r="BV22" s="70"/>
      <c r="BW22" s="60"/>
      <c r="BX22" s="71"/>
      <c r="BY22" s="210" t="s">
        <v>149</v>
      </c>
      <c r="BZ22" s="210"/>
      <c r="CA22" s="210" t="s">
        <v>149</v>
      </c>
      <c r="CB22" s="212"/>
      <c r="CC22" s="212"/>
      <c r="CD22" s="213"/>
      <c r="CE22" s="60" t="s">
        <v>322</v>
      </c>
      <c r="CF22" s="71" t="s">
        <v>323</v>
      </c>
      <c r="CG22" s="56" t="s">
        <v>324</v>
      </c>
      <c r="CH22" s="57" t="s">
        <v>325</v>
      </c>
      <c r="CI22" s="215" t="s">
        <v>142</v>
      </c>
      <c r="CJ22" s="52" t="s">
        <v>142</v>
      </c>
      <c r="CK22" s="52" t="s">
        <v>142</v>
      </c>
      <c r="CL22" s="52" t="s">
        <v>142</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216"/>
      <c r="DH22" s="216"/>
      <c r="DI22" s="74"/>
      <c r="DJ22" s="75"/>
      <c r="DK22" s="76" t="s">
        <v>146</v>
      </c>
      <c r="DL22" s="76" t="s">
        <v>146</v>
      </c>
      <c r="DM22" s="76" t="s">
        <v>146</v>
      </c>
      <c r="DN22" s="790"/>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22</v>
      </c>
      <c r="B23" s="49">
        <v>202609</v>
      </c>
      <c r="C23" s="50" t="s">
        <v>315</v>
      </c>
      <c r="D23" s="50" t="s">
        <v>174</v>
      </c>
      <c r="E23" s="198">
        <v>5825</v>
      </c>
      <c r="F23" s="52" t="s">
        <v>316</v>
      </c>
      <c r="G23" s="53" t="s">
        <v>157</v>
      </c>
      <c r="H23" s="97" t="s">
        <v>304</v>
      </c>
      <c r="I23" s="53" t="s">
        <v>305</v>
      </c>
      <c r="J23" s="60" t="s">
        <v>317</v>
      </c>
      <c r="K23" s="69" t="s">
        <v>326</v>
      </c>
      <c r="L23" s="55">
        <v>3</v>
      </c>
      <c r="M23" s="56" t="s">
        <v>319</v>
      </c>
      <c r="N23" s="70" t="s">
        <v>320</v>
      </c>
      <c r="O23" s="55" t="s">
        <v>146</v>
      </c>
      <c r="P23" s="55" t="s">
        <v>146</v>
      </c>
      <c r="Q23" s="60" t="s">
        <v>143</v>
      </c>
      <c r="R23" s="387" t="str">
        <f>VLOOKUP(Sheet_1_Table_1_137[[#This Row],[Learning Domain]],[7]List!$A$7:$B$12,2,0)</f>
        <v>CELD</v>
      </c>
      <c r="S23" s="55">
        <v>0</v>
      </c>
      <c r="T23" s="55">
        <v>0</v>
      </c>
      <c r="U23" s="55">
        <v>0</v>
      </c>
      <c r="V23" s="55">
        <v>20</v>
      </c>
      <c r="W23" s="55">
        <v>40</v>
      </c>
      <c r="X23" s="55">
        <v>40</v>
      </c>
      <c r="Y23" s="55">
        <v>0</v>
      </c>
      <c r="Z23" s="55">
        <v>0</v>
      </c>
      <c r="AA23" s="55">
        <v>0</v>
      </c>
      <c r="AB23" s="53" t="e">
        <f>SUM([8]!Sheet_1_Table_1_13[[#This Row],[Leadership LS]:[Career Development  CR]])</f>
        <v>#REF!</v>
      </c>
      <c r="AC23" s="52" t="s">
        <v>144</v>
      </c>
      <c r="AD23" s="55" t="s">
        <v>190</v>
      </c>
      <c r="AE23" s="55" t="s">
        <v>146</v>
      </c>
      <c r="AF23" s="201" t="s">
        <v>142</v>
      </c>
      <c r="AG23" s="201" t="s">
        <v>142</v>
      </c>
      <c r="AH23" s="201">
        <v>1</v>
      </c>
      <c r="AI23" s="55">
        <v>100</v>
      </c>
      <c r="AJ23" s="665">
        <f>SUM(Sheet_1_Table_1_137[[#This Row],[ILP Units Per Session]]*Sheet_1_Table_1_137[[#This Row],[Quota]])</f>
        <v>100</v>
      </c>
      <c r="AK23" s="203">
        <v>46307</v>
      </c>
      <c r="AL23" s="64">
        <f>WEEKDAY(Sheet_1_Table_1_137[[#This Row],[Lesson 1 
Date 
(DD-MMM-YYYY)]]
)</f>
        <v>2</v>
      </c>
      <c r="AM23" s="181">
        <v>0.69791666666666663</v>
      </c>
      <c r="AN23" s="182">
        <v>0.73958333333333337</v>
      </c>
      <c r="AO23" s="207" t="s">
        <v>321</v>
      </c>
      <c r="AP23" s="68"/>
      <c r="AQ23" s="64" t="e">
        <f>WEEKDAY([8]!Sheet_1_Table_1_13[[#This Row],[Lesson 2
Date 
(DD-MMM-YYYY)]])</f>
        <v>#REF!</v>
      </c>
      <c r="AR23" s="65"/>
      <c r="AS23" s="66"/>
      <c r="AT23" s="66"/>
      <c r="AU23" s="203"/>
      <c r="AV23" s="165" t="e">
        <f>WEEKDAY([8]!Sheet_1_Table_1_13[[#This Row],[Lesson 3
Date 
(DD-MMM-YYYY)]])</f>
        <v>#REF!</v>
      </c>
      <c r="AW23" s="204"/>
      <c r="AX23" s="205"/>
      <c r="AY23" s="207"/>
      <c r="AZ23" s="68"/>
      <c r="BA23" s="64" t="e">
        <f>WEEKDAY([8]!Sheet_1_Table_1_13[[#This Row],[Lesson 4
Date 
(DD-MMM-YYYY)]])</f>
        <v>#REF!</v>
      </c>
      <c r="BB23" s="65"/>
      <c r="BC23" s="66"/>
      <c r="BD23" s="66"/>
      <c r="BE23" s="203"/>
      <c r="BF23" s="165" t="e">
        <f>WEEKDAY([8]!Sheet_1_Table_1_13[[#This Row],[Lesson 5
Date 
(DD-MMM-YYYY)]])</f>
        <v>#REF!</v>
      </c>
      <c r="BG23" s="204"/>
      <c r="BH23" s="205"/>
      <c r="BI23" s="207"/>
      <c r="BJ23" s="68"/>
      <c r="BK23" s="165" t="e">
        <f>WEEKDAY([8]!Sheet_1_Table_1_13[[#This Row],[Lesson 6
Date 
(DD-MMM-YYYY)]])</f>
        <v>#REF!</v>
      </c>
      <c r="BL23" s="204"/>
      <c r="BM23" s="205"/>
      <c r="BN23" s="205"/>
      <c r="BO23" s="208"/>
      <c r="BP23" s="209"/>
      <c r="BQ23" s="201"/>
      <c r="BR23" s="211"/>
      <c r="BS23" s="52"/>
      <c r="BT23" s="209"/>
      <c r="BU23" s="201"/>
      <c r="BV23" s="70"/>
      <c r="BW23" s="60"/>
      <c r="BX23" s="71"/>
      <c r="BY23" s="210" t="s">
        <v>149</v>
      </c>
      <c r="BZ23" s="210"/>
      <c r="CA23" s="210" t="s">
        <v>149</v>
      </c>
      <c r="CB23" s="212"/>
      <c r="CC23" s="212"/>
      <c r="CD23" s="213"/>
      <c r="CE23" s="60" t="s">
        <v>322</v>
      </c>
      <c r="CF23" s="71" t="s">
        <v>323</v>
      </c>
      <c r="CG23" s="56" t="s">
        <v>324</v>
      </c>
      <c r="CH23" s="291" t="s">
        <v>325</v>
      </c>
      <c r="CI23" s="215" t="s">
        <v>142</v>
      </c>
      <c r="CJ23" s="52" t="s">
        <v>142</v>
      </c>
      <c r="CK23" s="52" t="s">
        <v>142</v>
      </c>
      <c r="CL23" s="52" t="s">
        <v>142</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216"/>
      <c r="DH23" s="216"/>
      <c r="DI23" s="74"/>
      <c r="DJ23" s="75"/>
      <c r="DK23" s="76" t="s">
        <v>146</v>
      </c>
      <c r="DL23" s="76" t="s">
        <v>146</v>
      </c>
      <c r="DM23" s="76" t="s">
        <v>146</v>
      </c>
      <c r="DN23" s="790"/>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23</v>
      </c>
      <c r="B24" s="49">
        <v>202609</v>
      </c>
      <c r="C24" s="49" t="s">
        <v>327</v>
      </c>
      <c r="D24" s="49" t="s">
        <v>174</v>
      </c>
      <c r="E24" s="49">
        <v>6037</v>
      </c>
      <c r="F24" s="52" t="s">
        <v>328</v>
      </c>
      <c r="G24" s="53"/>
      <c r="H24" s="97"/>
      <c r="I24" s="331"/>
      <c r="J24" s="60" t="s">
        <v>329</v>
      </c>
      <c r="K24" s="628" t="s">
        <v>330</v>
      </c>
      <c r="L24" s="331"/>
      <c r="M24" s="56" t="s">
        <v>331</v>
      </c>
      <c r="N24" s="57" t="s">
        <v>332</v>
      </c>
      <c r="O24" s="55" t="s">
        <v>146</v>
      </c>
      <c r="P24" s="55" t="s">
        <v>146</v>
      </c>
      <c r="Q24" s="60" t="s">
        <v>143</v>
      </c>
      <c r="R24" s="387" t="str">
        <f>VLOOKUP(Sheet_1_Table_1_137[[#This Row],[Learning Domain]],[7]List!$A$7:$B$12,2,0)</f>
        <v>CELD</v>
      </c>
      <c r="S24" s="55">
        <v>0</v>
      </c>
      <c r="T24" s="55">
        <v>0</v>
      </c>
      <c r="U24" s="55">
        <v>0</v>
      </c>
      <c r="V24" s="55">
        <v>10</v>
      </c>
      <c r="W24" s="55">
        <v>0</v>
      </c>
      <c r="X24" s="55">
        <v>0</v>
      </c>
      <c r="Y24" s="55">
        <v>90</v>
      </c>
      <c r="Z24" s="55">
        <v>0</v>
      </c>
      <c r="AA24" s="55">
        <v>0</v>
      </c>
      <c r="AB24" s="770">
        <v>100</v>
      </c>
      <c r="AC24" s="52" t="s">
        <v>144</v>
      </c>
      <c r="AD24" s="52" t="s">
        <v>333</v>
      </c>
      <c r="AE24" s="55" t="s">
        <v>142</v>
      </c>
      <c r="AF24" s="55" t="s">
        <v>146</v>
      </c>
      <c r="AG24" s="55" t="s">
        <v>142</v>
      </c>
      <c r="AH24" s="55">
        <v>2</v>
      </c>
      <c r="AI24" s="55">
        <v>40</v>
      </c>
      <c r="AJ24" s="665">
        <f>SUM(Sheet_1_Table_1_137[[#This Row],[ILP Units Per Session]]*Sheet_1_Table_1_137[[#This Row],[Quota]])</f>
        <v>80</v>
      </c>
      <c r="AK24" s="203">
        <v>46324</v>
      </c>
      <c r="AL24" s="64">
        <f>WEEKDAY(Sheet_1_Table_1_137[[#This Row],[Lesson 1 
Date 
(DD-MMM-YYYY)]]
)</f>
        <v>5</v>
      </c>
      <c r="AM24" s="668">
        <v>0.6875</v>
      </c>
      <c r="AN24" s="668">
        <v>0.77083333333333337</v>
      </c>
      <c r="AO24" s="668" t="s">
        <v>2239</v>
      </c>
      <c r="AP24" s="68"/>
      <c r="AQ24" s="64" t="e">
        <f>WEEKDAY([8]!Sheet_1_Table_1_13[[#This Row],[Lesson 2
Date 
(DD-MMM-YYYY)]])</f>
        <v>#REF!</v>
      </c>
      <c r="AR24" s="65"/>
      <c r="AS24" s="66"/>
      <c r="AT24" s="66"/>
      <c r="AU24" s="203"/>
      <c r="AV24" s="165" t="e">
        <f>WEEKDAY([8]!Sheet_1_Table_1_13[[#This Row],[Lesson 3
Date 
(DD-MMM-YYYY)]])</f>
        <v>#REF!</v>
      </c>
      <c r="AW24" s="204"/>
      <c r="AX24" s="205"/>
      <c r="AY24" s="207"/>
      <c r="AZ24" s="68"/>
      <c r="BA24" s="64" t="e">
        <f>WEEKDAY([8]!Sheet_1_Table_1_13[[#This Row],[Lesson 4
Date 
(DD-MMM-YYYY)]])</f>
        <v>#REF!</v>
      </c>
      <c r="BB24" s="65"/>
      <c r="BC24" s="66"/>
      <c r="BD24" s="66"/>
      <c r="BE24" s="203"/>
      <c r="BF24" s="165" t="e">
        <f>WEEKDAY([8]!Sheet_1_Table_1_13[[#This Row],[Lesson 5
Date 
(DD-MMM-YYYY)]])</f>
        <v>#REF!</v>
      </c>
      <c r="BG24" s="204"/>
      <c r="BH24" s="205"/>
      <c r="BI24" s="207"/>
      <c r="BJ24" s="68"/>
      <c r="BK24" s="165" t="e">
        <f>WEEKDAY([8]!Sheet_1_Table_1_13[[#This Row],[Lesson 6
Date 
(DD-MMM-YYYY)]])</f>
        <v>#REF!</v>
      </c>
      <c r="BL24" s="204"/>
      <c r="BM24" s="205"/>
      <c r="BN24" s="205"/>
      <c r="BO24" s="208" t="s">
        <v>293</v>
      </c>
      <c r="BP24" s="209" t="s">
        <v>334</v>
      </c>
      <c r="BQ24" s="201" t="s">
        <v>165</v>
      </c>
      <c r="BR24" s="211" t="s">
        <v>335</v>
      </c>
      <c r="BS24" s="52" t="s">
        <v>293</v>
      </c>
      <c r="BT24" s="209" t="s">
        <v>336</v>
      </c>
      <c r="BU24" s="201" t="s">
        <v>337</v>
      </c>
      <c r="BV24" s="70" t="s">
        <v>338</v>
      </c>
      <c r="BW24" s="60">
        <v>0</v>
      </c>
      <c r="BX24" s="71">
        <v>0</v>
      </c>
      <c r="BY24" s="210"/>
      <c r="BZ24" s="210"/>
      <c r="CA24" s="210" t="s">
        <v>339</v>
      </c>
      <c r="CB24" s="212" t="s">
        <v>340</v>
      </c>
      <c r="CC24" s="212" t="s">
        <v>341</v>
      </c>
      <c r="CD24" s="72">
        <v>26167414</v>
      </c>
      <c r="CE24" s="60" t="s">
        <v>342</v>
      </c>
      <c r="CF24" s="72" t="s">
        <v>343</v>
      </c>
      <c r="CG24" s="56" t="s">
        <v>344</v>
      </c>
      <c r="CH24" s="57" t="s">
        <v>345</v>
      </c>
      <c r="CI24" s="52" t="s">
        <v>146</v>
      </c>
      <c r="CJ24" s="52" t="s">
        <v>142</v>
      </c>
      <c r="CK24" s="52" t="s">
        <v>142</v>
      </c>
      <c r="CL24" s="52" t="s">
        <v>142</v>
      </c>
      <c r="CM24" s="52" t="s">
        <v>142</v>
      </c>
      <c r="CN24" s="52" t="s">
        <v>142</v>
      </c>
      <c r="CO24" s="52" t="s">
        <v>142</v>
      </c>
      <c r="CP24" s="52" t="s">
        <v>142</v>
      </c>
      <c r="CQ24" s="52" t="s">
        <v>142</v>
      </c>
      <c r="CR24" s="52" t="s">
        <v>142</v>
      </c>
      <c r="CS24" s="52" t="s">
        <v>142</v>
      </c>
      <c r="CT24" s="52" t="s">
        <v>146</v>
      </c>
      <c r="CU24" s="52" t="s">
        <v>142</v>
      </c>
      <c r="CV24" s="52" t="s">
        <v>142</v>
      </c>
      <c r="CW24" s="52" t="s">
        <v>142</v>
      </c>
      <c r="CX24" s="52" t="s">
        <v>146</v>
      </c>
      <c r="CY24" s="52" t="s">
        <v>142</v>
      </c>
      <c r="CZ24" s="59" t="s">
        <v>146</v>
      </c>
      <c r="DA24" s="54"/>
      <c r="DB24" s="50"/>
      <c r="DC24" s="50" t="s">
        <v>156</v>
      </c>
      <c r="DD24" s="50" t="s">
        <v>146</v>
      </c>
      <c r="DE24" s="50" t="s">
        <v>157</v>
      </c>
      <c r="DF24" s="50" t="s">
        <v>146</v>
      </c>
      <c r="DG24" s="73"/>
      <c r="DH24" s="73"/>
      <c r="DI24" s="74"/>
      <c r="DJ24" s="75"/>
      <c r="DK24" s="76" t="s">
        <v>146</v>
      </c>
      <c r="DL24" s="76" t="s">
        <v>146</v>
      </c>
      <c r="DM24" s="76" t="s">
        <v>146</v>
      </c>
      <c r="DN24" s="790" t="s">
        <v>2237</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24</v>
      </c>
      <c r="B25" s="49">
        <v>202609</v>
      </c>
      <c r="C25" s="50" t="s">
        <v>346</v>
      </c>
      <c r="D25" s="50" t="s">
        <v>133</v>
      </c>
      <c r="E25" s="51">
        <v>5671</v>
      </c>
      <c r="F25" s="52" t="s">
        <v>134</v>
      </c>
      <c r="G25" s="53" t="s">
        <v>347</v>
      </c>
      <c r="H25" s="80"/>
      <c r="I25" s="290" t="s">
        <v>348</v>
      </c>
      <c r="J25" s="214"/>
      <c r="K25" s="55" t="s">
        <v>349</v>
      </c>
      <c r="L25" s="55"/>
      <c r="M25" s="56" t="s">
        <v>350</v>
      </c>
      <c r="N25" s="211" t="s">
        <v>351</v>
      </c>
      <c r="O25" s="162" t="s">
        <v>142</v>
      </c>
      <c r="P25" s="450" t="s">
        <v>142</v>
      </c>
      <c r="Q25" s="214" t="s">
        <v>143</v>
      </c>
      <c r="R25" s="387" t="str">
        <f>VLOOKUP(Sheet_1_Table_1_137[[#This Row],[Learning Domain]],[7]List!$A$7:$B$12,2,0)</f>
        <v>CELD</v>
      </c>
      <c r="S25" s="55">
        <v>0</v>
      </c>
      <c r="T25" s="55">
        <v>0</v>
      </c>
      <c r="U25" s="55">
        <v>0</v>
      </c>
      <c r="V25" s="55">
        <v>0</v>
      </c>
      <c r="W25" s="55">
        <v>0</v>
      </c>
      <c r="X25" s="55">
        <v>100</v>
      </c>
      <c r="Y25" s="55">
        <v>0</v>
      </c>
      <c r="Z25" s="55">
        <v>0</v>
      </c>
      <c r="AA25" s="55">
        <v>0</v>
      </c>
      <c r="AB25" s="53">
        <v>100</v>
      </c>
      <c r="AC25" s="52" t="s">
        <v>245</v>
      </c>
      <c r="AD25" s="201" t="s">
        <v>190</v>
      </c>
      <c r="AE25" s="201" t="s">
        <v>146</v>
      </c>
      <c r="AF25" s="201" t="s">
        <v>142</v>
      </c>
      <c r="AG25" s="201" t="s">
        <v>142</v>
      </c>
      <c r="AH25" s="201">
        <v>2</v>
      </c>
      <c r="AI25" s="55">
        <v>15</v>
      </c>
      <c r="AJ25" s="202">
        <v>30</v>
      </c>
      <c r="AK25" s="203">
        <v>46270</v>
      </c>
      <c r="AL25" s="64">
        <f>WEEKDAY(Sheet_1_Table_1_137[[#This Row],[Lesson 1 
Date 
(DD-MMM-YYYY)]]
)</f>
        <v>7</v>
      </c>
      <c r="AM25" s="204">
        <v>0.4375</v>
      </c>
      <c r="AN25" s="205">
        <v>0.52083333333333337</v>
      </c>
      <c r="AO25" s="207"/>
      <c r="AP25" s="68"/>
      <c r="AQ25" s="64">
        <v>7</v>
      </c>
      <c r="AR25" s="65"/>
      <c r="AS25" s="66"/>
      <c r="AT25" s="66"/>
      <c r="AU25" s="203"/>
      <c r="AV25" s="165">
        <v>7</v>
      </c>
      <c r="AW25" s="204"/>
      <c r="AX25" s="205"/>
      <c r="AY25" s="207"/>
      <c r="AZ25" s="68"/>
      <c r="BA25" s="64">
        <v>7</v>
      </c>
      <c r="BB25" s="65"/>
      <c r="BC25" s="66"/>
      <c r="BD25" s="66"/>
      <c r="BE25" s="203"/>
      <c r="BF25" s="165">
        <v>7</v>
      </c>
      <c r="BG25" s="204"/>
      <c r="BH25" s="205"/>
      <c r="BI25" s="207"/>
      <c r="BJ25" s="68"/>
      <c r="BK25" s="165">
        <v>7</v>
      </c>
      <c r="BL25" s="204"/>
      <c r="BM25" s="205"/>
      <c r="BN25" s="205"/>
      <c r="BO25" s="208"/>
      <c r="BQ25" s="201"/>
      <c r="BR25" s="209" t="s">
        <v>352</v>
      </c>
      <c r="BS25" s="52"/>
      <c r="BT25" s="210"/>
      <c r="BU25" s="210"/>
      <c r="BV25" s="70"/>
      <c r="BW25" s="60"/>
      <c r="BX25" s="773">
        <v>100</v>
      </c>
      <c r="BY25" s="774">
        <v>0.40625</v>
      </c>
      <c r="BZ25" s="210" t="s">
        <v>353</v>
      </c>
      <c r="CA25" s="210" t="s">
        <v>149</v>
      </c>
      <c r="CB25" s="212"/>
      <c r="CC25" s="212"/>
      <c r="CD25" s="213"/>
      <c r="CE25" s="214" t="s">
        <v>354</v>
      </c>
      <c r="CF25" s="213" t="s">
        <v>355</v>
      </c>
      <c r="CG25" s="56" t="s">
        <v>356</v>
      </c>
      <c r="CH25" s="57" t="s">
        <v>357</v>
      </c>
      <c r="CI25" s="215" t="s">
        <v>146</v>
      </c>
      <c r="CJ25" s="52" t="s">
        <v>142</v>
      </c>
      <c r="CK25" s="52" t="s">
        <v>142</v>
      </c>
      <c r="CL25" s="52" t="s">
        <v>142</v>
      </c>
      <c r="CM25" s="52" t="s">
        <v>142</v>
      </c>
      <c r="CN25" s="52" t="s">
        <v>142</v>
      </c>
      <c r="CO25" s="52" t="s">
        <v>142</v>
      </c>
      <c r="CP25" s="52" t="s">
        <v>142</v>
      </c>
      <c r="CQ25" s="52" t="s">
        <v>142</v>
      </c>
      <c r="CR25" s="52" t="s">
        <v>142</v>
      </c>
      <c r="CS25" s="52" t="s">
        <v>142</v>
      </c>
      <c r="CT25" s="52" t="s">
        <v>146</v>
      </c>
      <c r="CU25" s="52" t="s">
        <v>142</v>
      </c>
      <c r="CV25" s="52" t="s">
        <v>142</v>
      </c>
      <c r="CW25" s="52" t="s">
        <v>142</v>
      </c>
      <c r="CX25" s="52" t="s">
        <v>142</v>
      </c>
      <c r="CY25" s="52" t="s">
        <v>142</v>
      </c>
      <c r="CZ25" s="59" t="s">
        <v>142</v>
      </c>
      <c r="DA25" s="74" t="s">
        <v>142</v>
      </c>
      <c r="DB25" s="75" t="s">
        <v>142</v>
      </c>
      <c r="DC25" s="50" t="s">
        <v>156</v>
      </c>
      <c r="DD25" s="50" t="s">
        <v>146</v>
      </c>
      <c r="DE25" s="50" t="s">
        <v>157</v>
      </c>
      <c r="DF25" s="50" t="s">
        <v>146</v>
      </c>
      <c r="DG25" s="73"/>
      <c r="DH25" s="73"/>
      <c r="DI25" s="74"/>
      <c r="DJ25" s="75"/>
      <c r="DK25" s="76" t="s">
        <v>146</v>
      </c>
      <c r="DL25" s="76" t="s">
        <v>146</v>
      </c>
      <c r="DM25" s="76" t="s">
        <v>146</v>
      </c>
      <c r="DN25" s="790"/>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25</v>
      </c>
      <c r="B26" s="49">
        <v>202609</v>
      </c>
      <c r="C26" s="197" t="s">
        <v>358</v>
      </c>
      <c r="D26" s="50" t="s">
        <v>133</v>
      </c>
      <c r="E26" s="198">
        <v>5672</v>
      </c>
      <c r="F26" s="52" t="s">
        <v>134</v>
      </c>
      <c r="G26" s="53" t="s">
        <v>347</v>
      </c>
      <c r="H26" s="80"/>
      <c r="I26" s="290" t="s">
        <v>348</v>
      </c>
      <c r="J26" s="214"/>
      <c r="K26" s="55" t="s">
        <v>359</v>
      </c>
      <c r="L26" s="55"/>
      <c r="M26" s="56" t="s">
        <v>350</v>
      </c>
      <c r="N26" s="211" t="s">
        <v>351</v>
      </c>
      <c r="O26" s="162" t="s">
        <v>142</v>
      </c>
      <c r="P26" s="450" t="s">
        <v>142</v>
      </c>
      <c r="Q26" s="214" t="s">
        <v>143</v>
      </c>
      <c r="R26" s="387" t="str">
        <f>VLOOKUP(Sheet_1_Table_1_137[[#This Row],[Learning Domain]],[7]List!$A$7:$B$12,2,0)</f>
        <v>CELD</v>
      </c>
      <c r="S26" s="55">
        <v>0</v>
      </c>
      <c r="T26" s="55">
        <v>0</v>
      </c>
      <c r="U26" s="55">
        <v>0</v>
      </c>
      <c r="V26" s="55">
        <v>0</v>
      </c>
      <c r="W26" s="55">
        <v>0</v>
      </c>
      <c r="X26" s="55">
        <v>100</v>
      </c>
      <c r="Y26" s="55">
        <v>0</v>
      </c>
      <c r="Z26" s="55">
        <v>0</v>
      </c>
      <c r="AA26" s="55">
        <v>0</v>
      </c>
      <c r="AB26" s="53">
        <v>100</v>
      </c>
      <c r="AC26" s="52" t="s">
        <v>245</v>
      </c>
      <c r="AD26" s="201" t="s">
        <v>190</v>
      </c>
      <c r="AE26" s="201" t="s">
        <v>146</v>
      </c>
      <c r="AF26" s="201" t="s">
        <v>142</v>
      </c>
      <c r="AG26" s="201" t="s">
        <v>142</v>
      </c>
      <c r="AH26" s="201">
        <v>2</v>
      </c>
      <c r="AI26" s="55">
        <v>15</v>
      </c>
      <c r="AJ26" s="202">
        <v>30</v>
      </c>
      <c r="AK26" s="203">
        <v>46270</v>
      </c>
      <c r="AL26" s="64">
        <f>WEEKDAY(Sheet_1_Table_1_137[[#This Row],[Lesson 1 
Date 
(DD-MMM-YYYY)]]
)</f>
        <v>7</v>
      </c>
      <c r="AM26" s="204">
        <v>0.60416666666666663</v>
      </c>
      <c r="AN26" s="205">
        <v>0.6875</v>
      </c>
      <c r="AO26" s="207"/>
      <c r="AP26" s="68"/>
      <c r="AQ26" s="64">
        <v>7</v>
      </c>
      <c r="AR26" s="65"/>
      <c r="AS26" s="66"/>
      <c r="AT26" s="66"/>
      <c r="AU26" s="203"/>
      <c r="AV26" s="165">
        <v>7</v>
      </c>
      <c r="AW26" s="204"/>
      <c r="AX26" s="205"/>
      <c r="AY26" s="207"/>
      <c r="AZ26" s="68"/>
      <c r="BA26" s="64">
        <v>7</v>
      </c>
      <c r="BB26" s="65"/>
      <c r="BC26" s="66"/>
      <c r="BD26" s="66"/>
      <c r="BE26" s="203"/>
      <c r="BF26" s="165">
        <v>7</v>
      </c>
      <c r="BG26" s="204"/>
      <c r="BH26" s="205"/>
      <c r="BI26" s="207"/>
      <c r="BJ26" s="68"/>
      <c r="BK26" s="165">
        <v>7</v>
      </c>
      <c r="BL26" s="204"/>
      <c r="BM26" s="205"/>
      <c r="BN26" s="205"/>
      <c r="BO26" s="208"/>
      <c r="BQ26" s="201"/>
      <c r="BR26" s="209" t="s">
        <v>352</v>
      </c>
      <c r="BS26" s="52"/>
      <c r="BT26" s="209"/>
      <c r="BU26" s="201"/>
      <c r="BV26" s="70"/>
      <c r="BW26" s="60"/>
      <c r="BX26" s="773">
        <v>100</v>
      </c>
      <c r="BY26" s="774">
        <v>0.57291666666666663</v>
      </c>
      <c r="BZ26" s="210" t="s">
        <v>353</v>
      </c>
      <c r="CA26" s="210" t="s">
        <v>149</v>
      </c>
      <c r="CB26" s="212"/>
      <c r="CC26" s="212"/>
      <c r="CD26" s="213"/>
      <c r="CE26" s="214" t="s">
        <v>354</v>
      </c>
      <c r="CF26" s="213" t="s">
        <v>355</v>
      </c>
      <c r="CG26" s="56" t="s">
        <v>356</v>
      </c>
      <c r="CH26" s="57" t="s">
        <v>357</v>
      </c>
      <c r="CI26" s="215" t="s">
        <v>146</v>
      </c>
      <c r="CJ26" s="52" t="s">
        <v>142</v>
      </c>
      <c r="CK26" s="52" t="s">
        <v>142</v>
      </c>
      <c r="CL26" s="52" t="s">
        <v>142</v>
      </c>
      <c r="CM26" s="52" t="s">
        <v>142</v>
      </c>
      <c r="CN26" s="52" t="s">
        <v>142</v>
      </c>
      <c r="CO26" s="52" t="s">
        <v>142</v>
      </c>
      <c r="CP26" s="52" t="s">
        <v>142</v>
      </c>
      <c r="CQ26" s="52" t="s">
        <v>142</v>
      </c>
      <c r="CR26" s="52" t="s">
        <v>142</v>
      </c>
      <c r="CS26" s="52" t="s">
        <v>142</v>
      </c>
      <c r="CT26" s="52" t="s">
        <v>146</v>
      </c>
      <c r="CU26" s="52" t="s">
        <v>142</v>
      </c>
      <c r="CV26" s="52" t="s">
        <v>142</v>
      </c>
      <c r="CW26" s="52" t="s">
        <v>142</v>
      </c>
      <c r="CX26" s="52" t="s">
        <v>142</v>
      </c>
      <c r="CY26" s="52" t="s">
        <v>142</v>
      </c>
      <c r="CZ26" s="59" t="s">
        <v>142</v>
      </c>
      <c r="DA26" s="74" t="s">
        <v>142</v>
      </c>
      <c r="DB26" s="75" t="s">
        <v>142</v>
      </c>
      <c r="DC26" s="50" t="s">
        <v>156</v>
      </c>
      <c r="DD26" s="50" t="s">
        <v>146</v>
      </c>
      <c r="DE26" s="50" t="s">
        <v>157</v>
      </c>
      <c r="DF26" s="50" t="s">
        <v>146</v>
      </c>
      <c r="DG26" s="73"/>
      <c r="DH26" s="73"/>
      <c r="DI26" s="74"/>
      <c r="DJ26" s="75"/>
      <c r="DK26" s="76" t="s">
        <v>146</v>
      </c>
      <c r="DL26" s="76" t="s">
        <v>146</v>
      </c>
      <c r="DM26" s="76" t="s">
        <v>146</v>
      </c>
      <c r="DN26" s="790"/>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26</v>
      </c>
      <c r="B27" s="49">
        <v>202609</v>
      </c>
      <c r="C27" s="50" t="s">
        <v>360</v>
      </c>
      <c r="D27" s="50" t="s">
        <v>133</v>
      </c>
      <c r="E27" s="198">
        <v>5673</v>
      </c>
      <c r="F27" s="52" t="s">
        <v>134</v>
      </c>
      <c r="G27" s="53" t="s">
        <v>347</v>
      </c>
      <c r="H27" s="80"/>
      <c r="I27" s="290" t="s">
        <v>348</v>
      </c>
      <c r="J27" s="60"/>
      <c r="K27" s="55" t="s">
        <v>361</v>
      </c>
      <c r="L27" s="55"/>
      <c r="M27" s="56" t="s">
        <v>362</v>
      </c>
      <c r="N27" s="57" t="s">
        <v>363</v>
      </c>
      <c r="O27" s="177" t="s">
        <v>142</v>
      </c>
      <c r="P27" s="59" t="s">
        <v>142</v>
      </c>
      <c r="Q27" s="60" t="s">
        <v>143</v>
      </c>
      <c r="R27" s="387" t="str">
        <f>VLOOKUP(Sheet_1_Table_1_137[[#This Row],[Learning Domain]],[7]List!$A$7:$B$12,2,0)</f>
        <v>CELD</v>
      </c>
      <c r="S27" s="55">
        <v>0</v>
      </c>
      <c r="T27" s="55">
        <v>0</v>
      </c>
      <c r="U27" s="55">
        <v>0</v>
      </c>
      <c r="V27" s="55">
        <v>0</v>
      </c>
      <c r="W27" s="55">
        <v>0</v>
      </c>
      <c r="X27" s="55">
        <v>100</v>
      </c>
      <c r="Y27" s="55">
        <v>0</v>
      </c>
      <c r="Z27" s="55">
        <v>0</v>
      </c>
      <c r="AA27" s="55">
        <v>0</v>
      </c>
      <c r="AB27" s="53">
        <v>100</v>
      </c>
      <c r="AC27" s="52" t="s">
        <v>245</v>
      </c>
      <c r="AD27" s="55" t="s">
        <v>190</v>
      </c>
      <c r="AE27" s="55" t="s">
        <v>146</v>
      </c>
      <c r="AF27" s="55" t="s">
        <v>142</v>
      </c>
      <c r="AG27" s="55" t="s">
        <v>142</v>
      </c>
      <c r="AH27" s="55">
        <v>2</v>
      </c>
      <c r="AI27" s="55">
        <v>25</v>
      </c>
      <c r="AJ27" s="62">
        <v>50</v>
      </c>
      <c r="AK27" s="63">
        <v>46277</v>
      </c>
      <c r="AL27" s="64">
        <f>WEEKDAY(Sheet_1_Table_1_137[[#This Row],[Lesson 1 
Date 
(DD-MMM-YYYY)]]
)</f>
        <v>7</v>
      </c>
      <c r="AM27" s="65">
        <v>0.41666666666666669</v>
      </c>
      <c r="AN27" s="66">
        <v>0.5</v>
      </c>
      <c r="AO27" s="67"/>
      <c r="AP27" s="68"/>
      <c r="AQ27" s="64">
        <v>7</v>
      </c>
      <c r="AR27" s="65"/>
      <c r="AS27" s="66"/>
      <c r="AT27" s="66"/>
      <c r="AU27" s="63"/>
      <c r="AV27" s="165">
        <v>7</v>
      </c>
      <c r="AW27" s="65"/>
      <c r="AX27" s="66"/>
      <c r="AY27" s="67"/>
      <c r="AZ27" s="68"/>
      <c r="BA27" s="64">
        <v>7</v>
      </c>
      <c r="BB27" s="65"/>
      <c r="BC27" s="66"/>
      <c r="BD27" s="66"/>
      <c r="BE27" s="63"/>
      <c r="BF27" s="165">
        <v>7</v>
      </c>
      <c r="BG27" s="65"/>
      <c r="BH27" s="66"/>
      <c r="BI27" s="67"/>
      <c r="BJ27" s="68"/>
      <c r="BK27" s="165">
        <v>7</v>
      </c>
      <c r="BL27" s="65"/>
      <c r="BM27" s="66"/>
      <c r="BN27" s="66"/>
      <c r="BO27" s="54"/>
      <c r="BQ27" s="55"/>
      <c r="BR27" s="69" t="s">
        <v>364</v>
      </c>
      <c r="BS27" s="52"/>
      <c r="BT27" s="69"/>
      <c r="BU27" s="55"/>
      <c r="BV27" s="70"/>
      <c r="BW27" s="60"/>
      <c r="BX27" s="196">
        <v>100</v>
      </c>
      <c r="BY27" s="437">
        <v>0.375</v>
      </c>
      <c r="BZ27" s="56" t="s">
        <v>353</v>
      </c>
      <c r="CA27" s="56" t="s">
        <v>149</v>
      </c>
      <c r="CB27" s="72"/>
      <c r="CC27" s="72"/>
      <c r="CD27" s="71"/>
      <c r="CE27" s="60" t="s">
        <v>354</v>
      </c>
      <c r="CF27" s="71" t="s">
        <v>355</v>
      </c>
      <c r="CG27" s="56" t="s">
        <v>356</v>
      </c>
      <c r="CH27" s="57" t="s">
        <v>357</v>
      </c>
      <c r="CI27" s="52" t="s">
        <v>146</v>
      </c>
      <c r="CJ27" s="52" t="s">
        <v>142</v>
      </c>
      <c r="CK27" s="52" t="s">
        <v>142</v>
      </c>
      <c r="CL27" s="52" t="s">
        <v>142</v>
      </c>
      <c r="CM27" s="52" t="s">
        <v>142</v>
      </c>
      <c r="CN27" s="52" t="s">
        <v>142</v>
      </c>
      <c r="CO27" s="52" t="s">
        <v>142</v>
      </c>
      <c r="CP27" s="52" t="s">
        <v>142</v>
      </c>
      <c r="CQ27" s="52" t="s">
        <v>142</v>
      </c>
      <c r="CR27" s="52" t="s">
        <v>142</v>
      </c>
      <c r="CS27" s="52" t="s">
        <v>142</v>
      </c>
      <c r="CT27" s="52" t="s">
        <v>146</v>
      </c>
      <c r="CU27" s="52" t="s">
        <v>142</v>
      </c>
      <c r="CV27" s="52" t="s">
        <v>142</v>
      </c>
      <c r="CW27" s="52" t="s">
        <v>142</v>
      </c>
      <c r="CX27" s="52" t="s">
        <v>142</v>
      </c>
      <c r="CY27" s="52" t="s">
        <v>142</v>
      </c>
      <c r="CZ27" s="59" t="s">
        <v>142</v>
      </c>
      <c r="DA27" s="74" t="s">
        <v>142</v>
      </c>
      <c r="DB27" s="75" t="s">
        <v>142</v>
      </c>
      <c r="DC27" s="50" t="s">
        <v>156</v>
      </c>
      <c r="DD27" s="50" t="s">
        <v>146</v>
      </c>
      <c r="DE27" s="50" t="s">
        <v>157</v>
      </c>
      <c r="DF27" s="50" t="s">
        <v>146</v>
      </c>
      <c r="DG27" s="73"/>
      <c r="DH27" s="73"/>
      <c r="DI27" s="74"/>
      <c r="DJ27" s="75"/>
      <c r="DK27" s="76" t="s">
        <v>146</v>
      </c>
      <c r="DL27" s="76" t="s">
        <v>146</v>
      </c>
      <c r="DM27" s="76" t="s">
        <v>146</v>
      </c>
      <c r="DN27" s="790"/>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27</v>
      </c>
      <c r="B28" s="49">
        <v>202609</v>
      </c>
      <c r="C28" s="50" t="s">
        <v>365</v>
      </c>
      <c r="D28" s="50" t="s">
        <v>133</v>
      </c>
      <c r="E28" s="51">
        <v>5670</v>
      </c>
      <c r="F28" s="52" t="s">
        <v>134</v>
      </c>
      <c r="G28" s="53" t="s">
        <v>347</v>
      </c>
      <c r="H28" s="80"/>
      <c r="I28" s="290" t="s">
        <v>348</v>
      </c>
      <c r="J28" s="60"/>
      <c r="K28" s="55" t="s">
        <v>366</v>
      </c>
      <c r="L28" s="55"/>
      <c r="M28" s="56" t="s">
        <v>367</v>
      </c>
      <c r="N28" s="57" t="s">
        <v>368</v>
      </c>
      <c r="O28" s="177" t="s">
        <v>142</v>
      </c>
      <c r="P28" s="59" t="s">
        <v>142</v>
      </c>
      <c r="Q28" s="60" t="s">
        <v>143</v>
      </c>
      <c r="R28" s="387" t="str">
        <f>VLOOKUP(Sheet_1_Table_1_137[[#This Row],[Learning Domain]],[7]List!$A$7:$B$12,2,0)</f>
        <v>CELD</v>
      </c>
      <c r="S28" s="55">
        <v>0</v>
      </c>
      <c r="T28" s="55">
        <v>0</v>
      </c>
      <c r="U28" s="55">
        <v>0</v>
      </c>
      <c r="V28" s="55">
        <v>0</v>
      </c>
      <c r="W28" s="55">
        <v>0</v>
      </c>
      <c r="X28" s="55">
        <v>100</v>
      </c>
      <c r="Y28" s="55">
        <v>0</v>
      </c>
      <c r="Z28" s="55">
        <v>0</v>
      </c>
      <c r="AA28" s="55">
        <v>0</v>
      </c>
      <c r="AB28" s="53">
        <v>100</v>
      </c>
      <c r="AC28" s="52" t="s">
        <v>245</v>
      </c>
      <c r="AD28" s="55" t="s">
        <v>190</v>
      </c>
      <c r="AE28" s="55" t="s">
        <v>146</v>
      </c>
      <c r="AF28" s="55" t="s">
        <v>142</v>
      </c>
      <c r="AG28" s="55" t="s">
        <v>142</v>
      </c>
      <c r="AH28" s="55">
        <v>2</v>
      </c>
      <c r="AI28" s="55">
        <v>25</v>
      </c>
      <c r="AJ28" s="62">
        <v>50</v>
      </c>
      <c r="AK28" s="63">
        <v>46277</v>
      </c>
      <c r="AL28" s="64">
        <f>WEEKDAY(Sheet_1_Table_1_137[[#This Row],[Lesson 1 
Date 
(DD-MMM-YYYY)]]
)</f>
        <v>7</v>
      </c>
      <c r="AM28" s="65">
        <v>0.4375</v>
      </c>
      <c r="AN28" s="66">
        <v>0.52083333333333337</v>
      </c>
      <c r="AO28" s="67"/>
      <c r="AP28" s="68"/>
      <c r="AQ28" s="64">
        <v>7</v>
      </c>
      <c r="AR28" s="65"/>
      <c r="AS28" s="66"/>
      <c r="AT28" s="66"/>
      <c r="AU28" s="63"/>
      <c r="AV28" s="165">
        <v>7</v>
      </c>
      <c r="AW28" s="65"/>
      <c r="AX28" s="66"/>
      <c r="AY28" s="67"/>
      <c r="AZ28" s="68"/>
      <c r="BA28" s="64">
        <v>7</v>
      </c>
      <c r="BB28" s="65"/>
      <c r="BC28" s="66"/>
      <c r="BD28" s="66"/>
      <c r="BE28" s="63"/>
      <c r="BF28" s="165">
        <v>7</v>
      </c>
      <c r="BG28" s="65"/>
      <c r="BH28" s="66"/>
      <c r="BI28" s="67"/>
      <c r="BJ28" s="68"/>
      <c r="BK28" s="165">
        <v>7</v>
      </c>
      <c r="BL28" s="65"/>
      <c r="BM28" s="66"/>
      <c r="BN28" s="66"/>
      <c r="BO28" s="54"/>
      <c r="BQ28" s="69"/>
      <c r="BR28" s="69" t="s">
        <v>369</v>
      </c>
      <c r="BS28" s="52"/>
      <c r="BT28" s="56"/>
      <c r="BU28" s="56"/>
      <c r="BV28" s="70"/>
      <c r="BW28" s="60"/>
      <c r="BX28" s="196">
        <v>100</v>
      </c>
      <c r="BY28" s="437">
        <v>0.38541666666666669</v>
      </c>
      <c r="BZ28" s="56" t="s">
        <v>353</v>
      </c>
      <c r="CA28" s="56" t="s">
        <v>184</v>
      </c>
      <c r="CB28" s="72"/>
      <c r="CC28" s="72"/>
      <c r="CD28" s="71"/>
      <c r="CE28" s="60" t="s">
        <v>354</v>
      </c>
      <c r="CF28" s="71" t="s">
        <v>355</v>
      </c>
      <c r="CG28" s="56" t="s">
        <v>356</v>
      </c>
      <c r="CH28" s="57" t="s">
        <v>357</v>
      </c>
      <c r="CI28" s="52" t="s">
        <v>146</v>
      </c>
      <c r="CJ28" s="52" t="s">
        <v>142</v>
      </c>
      <c r="CK28" s="52" t="s">
        <v>142</v>
      </c>
      <c r="CL28" s="52" t="s">
        <v>142</v>
      </c>
      <c r="CM28" s="52" t="s">
        <v>142</v>
      </c>
      <c r="CN28" s="52" t="s">
        <v>142</v>
      </c>
      <c r="CO28" s="52" t="s">
        <v>142</v>
      </c>
      <c r="CP28" s="52" t="s">
        <v>142</v>
      </c>
      <c r="CQ28" s="52" t="s">
        <v>142</v>
      </c>
      <c r="CR28" s="52" t="s">
        <v>142</v>
      </c>
      <c r="CS28" s="52" t="s">
        <v>142</v>
      </c>
      <c r="CT28" s="52" t="s">
        <v>146</v>
      </c>
      <c r="CU28" s="52" t="s">
        <v>142</v>
      </c>
      <c r="CV28" s="52" t="s">
        <v>142</v>
      </c>
      <c r="CW28" s="52" t="s">
        <v>142</v>
      </c>
      <c r="CX28" s="52" t="s">
        <v>142</v>
      </c>
      <c r="CY28" s="52" t="s">
        <v>142</v>
      </c>
      <c r="CZ28" s="59" t="s">
        <v>142</v>
      </c>
      <c r="DA28" s="74" t="s">
        <v>142</v>
      </c>
      <c r="DB28" s="75" t="s">
        <v>142</v>
      </c>
      <c r="DC28" s="50" t="s">
        <v>156</v>
      </c>
      <c r="DD28" s="50" t="s">
        <v>146</v>
      </c>
      <c r="DE28" s="50" t="s">
        <v>157</v>
      </c>
      <c r="DF28" s="50" t="s">
        <v>146</v>
      </c>
      <c r="DG28" s="73"/>
      <c r="DH28" s="73"/>
      <c r="DI28" s="74"/>
      <c r="DJ28" s="75"/>
      <c r="DK28" s="76" t="s">
        <v>146</v>
      </c>
      <c r="DL28" s="76" t="s">
        <v>146</v>
      </c>
      <c r="DM28" s="76" t="s">
        <v>146</v>
      </c>
      <c r="DN28" s="790"/>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28</v>
      </c>
      <c r="B29" s="49">
        <v>202609</v>
      </c>
      <c r="C29" s="50" t="s">
        <v>370</v>
      </c>
      <c r="D29" s="50" t="s">
        <v>133</v>
      </c>
      <c r="E29" s="51">
        <v>5674</v>
      </c>
      <c r="F29" s="52" t="s">
        <v>134</v>
      </c>
      <c r="G29" s="53" t="s">
        <v>347</v>
      </c>
      <c r="H29" s="80"/>
      <c r="I29" s="290" t="s">
        <v>348</v>
      </c>
      <c r="J29" s="60"/>
      <c r="K29" s="55" t="s">
        <v>371</v>
      </c>
      <c r="L29" s="55"/>
      <c r="M29" s="56" t="s">
        <v>372</v>
      </c>
      <c r="N29" s="57" t="s">
        <v>373</v>
      </c>
      <c r="O29" s="177" t="s">
        <v>142</v>
      </c>
      <c r="P29" s="59" t="s">
        <v>142</v>
      </c>
      <c r="Q29" s="60" t="s">
        <v>143</v>
      </c>
      <c r="R29" s="387" t="str">
        <f>VLOOKUP(Sheet_1_Table_1_137[[#This Row],[Learning Domain]],[7]List!$A$7:$B$12,2,0)</f>
        <v>CELD</v>
      </c>
      <c r="S29" s="55">
        <v>0</v>
      </c>
      <c r="T29" s="55">
        <v>0</v>
      </c>
      <c r="U29" s="55">
        <v>0</v>
      </c>
      <c r="V29" s="55">
        <v>0</v>
      </c>
      <c r="W29" s="55">
        <v>0</v>
      </c>
      <c r="X29" s="55">
        <v>100</v>
      </c>
      <c r="Y29" s="55">
        <v>0</v>
      </c>
      <c r="Z29" s="55">
        <v>0</v>
      </c>
      <c r="AA29" s="55">
        <v>0</v>
      </c>
      <c r="AB29" s="53">
        <v>100</v>
      </c>
      <c r="AC29" s="52" t="s">
        <v>245</v>
      </c>
      <c r="AD29" s="55" t="s">
        <v>190</v>
      </c>
      <c r="AE29" s="55" t="s">
        <v>146</v>
      </c>
      <c r="AF29" s="55" t="s">
        <v>142</v>
      </c>
      <c r="AG29" s="55" t="s">
        <v>142</v>
      </c>
      <c r="AH29" s="55">
        <v>2</v>
      </c>
      <c r="AI29" s="55">
        <v>25</v>
      </c>
      <c r="AJ29" s="62">
        <v>50</v>
      </c>
      <c r="AK29" s="63">
        <v>46284</v>
      </c>
      <c r="AL29" s="64">
        <f>WEEKDAY(Sheet_1_Table_1_137[[#This Row],[Lesson 1 
Date 
(DD-MMM-YYYY)]]
)</f>
        <v>7</v>
      </c>
      <c r="AM29" s="65">
        <v>0.4375</v>
      </c>
      <c r="AN29" s="66">
        <v>0.52083333333333337</v>
      </c>
      <c r="AO29" s="67"/>
      <c r="AP29" s="68"/>
      <c r="AQ29" s="64">
        <v>7</v>
      </c>
      <c r="AR29" s="65"/>
      <c r="AS29" s="66"/>
      <c r="AT29" s="66"/>
      <c r="AU29" s="63"/>
      <c r="AV29" s="64">
        <v>7</v>
      </c>
      <c r="AW29" s="65"/>
      <c r="AX29" s="66"/>
      <c r="AY29" s="67"/>
      <c r="AZ29" s="68"/>
      <c r="BA29" s="64">
        <v>7</v>
      </c>
      <c r="BB29" s="65"/>
      <c r="BC29" s="66"/>
      <c r="BD29" s="66"/>
      <c r="BE29" s="63"/>
      <c r="BF29" s="64">
        <v>7</v>
      </c>
      <c r="BG29" s="65"/>
      <c r="BH29" s="66"/>
      <c r="BI29" s="67"/>
      <c r="BJ29" s="68"/>
      <c r="BK29" s="64">
        <v>7</v>
      </c>
      <c r="BL29" s="65"/>
      <c r="BM29" s="66"/>
      <c r="BN29" s="66"/>
      <c r="BO29" s="54"/>
      <c r="BQ29" s="69"/>
      <c r="BR29" s="69" t="s">
        <v>374</v>
      </c>
      <c r="BS29" s="52"/>
      <c r="BT29" s="56"/>
      <c r="BU29" s="56"/>
      <c r="BV29" s="70"/>
      <c r="BW29" s="60"/>
      <c r="BX29" s="196">
        <v>100</v>
      </c>
      <c r="BY29" s="437">
        <v>0.38541666666666669</v>
      </c>
      <c r="BZ29" s="56" t="s">
        <v>353</v>
      </c>
      <c r="CA29" s="56"/>
      <c r="CB29" s="72"/>
      <c r="CC29" s="72"/>
      <c r="CD29" s="71"/>
      <c r="CE29" s="60" t="s">
        <v>354</v>
      </c>
      <c r="CF29" s="71" t="s">
        <v>355</v>
      </c>
      <c r="CG29" s="56" t="s">
        <v>356</v>
      </c>
      <c r="CH29" s="57" t="s">
        <v>357</v>
      </c>
      <c r="CI29" s="52" t="s">
        <v>146</v>
      </c>
      <c r="CJ29" s="52" t="s">
        <v>142</v>
      </c>
      <c r="CK29" s="52" t="s">
        <v>142</v>
      </c>
      <c r="CL29" s="52" t="s">
        <v>142</v>
      </c>
      <c r="CM29" s="52" t="s">
        <v>142</v>
      </c>
      <c r="CN29" s="52" t="s">
        <v>142</v>
      </c>
      <c r="CO29" s="52" t="s">
        <v>142</v>
      </c>
      <c r="CP29" s="52" t="s">
        <v>142</v>
      </c>
      <c r="CQ29" s="52" t="s">
        <v>142</v>
      </c>
      <c r="CR29" s="52" t="s">
        <v>142</v>
      </c>
      <c r="CS29" s="52" t="s">
        <v>142</v>
      </c>
      <c r="CT29" s="52" t="s">
        <v>146</v>
      </c>
      <c r="CU29" s="52" t="s">
        <v>142</v>
      </c>
      <c r="CV29" s="52" t="s">
        <v>142</v>
      </c>
      <c r="CW29" s="52" t="s">
        <v>142</v>
      </c>
      <c r="CX29" s="52" t="s">
        <v>142</v>
      </c>
      <c r="CY29" s="52" t="s">
        <v>142</v>
      </c>
      <c r="CZ29" s="59" t="s">
        <v>142</v>
      </c>
      <c r="DA29" s="74" t="s">
        <v>142</v>
      </c>
      <c r="DB29" s="75" t="s">
        <v>142</v>
      </c>
      <c r="DC29" s="50" t="s">
        <v>156</v>
      </c>
      <c r="DD29" s="50" t="s">
        <v>146</v>
      </c>
      <c r="DE29" s="50" t="s">
        <v>157</v>
      </c>
      <c r="DF29" s="50" t="s">
        <v>146</v>
      </c>
      <c r="DG29" s="73"/>
      <c r="DH29" s="73"/>
      <c r="DI29" s="74"/>
      <c r="DJ29" s="75"/>
      <c r="DK29" s="76" t="s">
        <v>146</v>
      </c>
      <c r="DL29" s="76" t="s">
        <v>146</v>
      </c>
      <c r="DM29" s="76" t="s">
        <v>146</v>
      </c>
      <c r="DN29" s="790"/>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29</v>
      </c>
      <c r="B30" s="49">
        <v>202609</v>
      </c>
      <c r="C30" s="50" t="s">
        <v>375</v>
      </c>
      <c r="D30" s="50" t="s">
        <v>133</v>
      </c>
      <c r="E30" s="51">
        <v>5675</v>
      </c>
      <c r="F30" s="52" t="s">
        <v>134</v>
      </c>
      <c r="G30" s="53" t="s">
        <v>347</v>
      </c>
      <c r="H30" s="80"/>
      <c r="I30" s="290" t="s">
        <v>348</v>
      </c>
      <c r="J30" s="60"/>
      <c r="K30" s="56" t="s">
        <v>376</v>
      </c>
      <c r="L30" s="55"/>
      <c r="M30" s="56" t="s">
        <v>377</v>
      </c>
      <c r="N30" s="57" t="s">
        <v>378</v>
      </c>
      <c r="O30" s="177" t="s">
        <v>142</v>
      </c>
      <c r="P30" s="59" t="s">
        <v>142</v>
      </c>
      <c r="Q30" s="60" t="s">
        <v>143</v>
      </c>
      <c r="R30" s="387" t="str">
        <f>VLOOKUP(Sheet_1_Table_1_137[[#This Row],[Learning Domain]],[7]List!$A$7:$B$12,2,0)</f>
        <v>CELD</v>
      </c>
      <c r="S30" s="55">
        <v>0</v>
      </c>
      <c r="T30" s="55">
        <v>0</v>
      </c>
      <c r="U30" s="55">
        <v>0</v>
      </c>
      <c r="V30" s="55">
        <v>0</v>
      </c>
      <c r="W30" s="55">
        <v>0</v>
      </c>
      <c r="X30" s="55">
        <v>100</v>
      </c>
      <c r="Y30" s="55">
        <v>0</v>
      </c>
      <c r="Z30" s="55">
        <v>0</v>
      </c>
      <c r="AA30" s="55">
        <v>0</v>
      </c>
      <c r="AB30" s="53">
        <v>100</v>
      </c>
      <c r="AC30" s="52" t="s">
        <v>245</v>
      </c>
      <c r="AD30" s="55" t="s">
        <v>190</v>
      </c>
      <c r="AE30" s="55" t="s">
        <v>146</v>
      </c>
      <c r="AF30" s="55" t="s">
        <v>142</v>
      </c>
      <c r="AG30" s="55" t="s">
        <v>142</v>
      </c>
      <c r="AH30" s="55">
        <v>2</v>
      </c>
      <c r="AI30" s="55">
        <v>25</v>
      </c>
      <c r="AJ30" s="62">
        <v>50</v>
      </c>
      <c r="AK30" s="63">
        <v>46284</v>
      </c>
      <c r="AL30" s="64">
        <f>WEEKDAY(Sheet_1_Table_1_137[[#This Row],[Lesson 1 
Date 
(DD-MMM-YYYY)]]
)</f>
        <v>7</v>
      </c>
      <c r="AM30" s="65">
        <v>0.58333333333333337</v>
      </c>
      <c r="AN30" s="66">
        <v>0.66666666666666663</v>
      </c>
      <c r="AO30" s="67"/>
      <c r="AP30" s="68"/>
      <c r="AQ30" s="64">
        <v>7</v>
      </c>
      <c r="AR30" s="65"/>
      <c r="AS30" s="66"/>
      <c r="AT30" s="66"/>
      <c r="AU30" s="63"/>
      <c r="AV30" s="64">
        <v>7</v>
      </c>
      <c r="AW30" s="65"/>
      <c r="AX30" s="66"/>
      <c r="AY30" s="67"/>
      <c r="AZ30" s="68"/>
      <c r="BA30" s="64">
        <v>7</v>
      </c>
      <c r="BB30" s="65"/>
      <c r="BC30" s="66"/>
      <c r="BD30" s="66"/>
      <c r="BE30" s="63"/>
      <c r="BF30" s="64">
        <v>7</v>
      </c>
      <c r="BG30" s="65"/>
      <c r="BH30" s="66"/>
      <c r="BI30" s="67"/>
      <c r="BJ30" s="68"/>
      <c r="BK30" s="64">
        <v>7</v>
      </c>
      <c r="BL30" s="65"/>
      <c r="BM30" s="66"/>
      <c r="BN30" s="66"/>
      <c r="BO30" s="54"/>
      <c r="BQ30" s="69"/>
      <c r="BR30" s="69" t="s">
        <v>369</v>
      </c>
      <c r="BS30" s="52"/>
      <c r="BT30" s="56"/>
      <c r="BU30" s="56"/>
      <c r="BV30" s="70"/>
      <c r="BW30" s="60"/>
      <c r="BX30" s="196">
        <v>100</v>
      </c>
      <c r="BY30" s="437">
        <v>0.54166666666666663</v>
      </c>
      <c r="BZ30" s="56" t="s">
        <v>353</v>
      </c>
      <c r="CA30" s="56" t="s">
        <v>184</v>
      </c>
      <c r="CB30" s="72"/>
      <c r="CC30" s="72"/>
      <c r="CD30" s="71"/>
      <c r="CE30" s="60" t="s">
        <v>354</v>
      </c>
      <c r="CF30" s="71" t="s">
        <v>355</v>
      </c>
      <c r="CG30" s="56" t="s">
        <v>356</v>
      </c>
      <c r="CH30" s="57" t="s">
        <v>357</v>
      </c>
      <c r="CI30" s="52" t="s">
        <v>146</v>
      </c>
      <c r="CJ30" s="52" t="s">
        <v>142</v>
      </c>
      <c r="CK30" s="52" t="s">
        <v>142</v>
      </c>
      <c r="CL30" s="52" t="s">
        <v>142</v>
      </c>
      <c r="CM30" s="52" t="s">
        <v>142</v>
      </c>
      <c r="CN30" s="52" t="s">
        <v>142</v>
      </c>
      <c r="CO30" s="52" t="s">
        <v>142</v>
      </c>
      <c r="CP30" s="52" t="s">
        <v>142</v>
      </c>
      <c r="CQ30" s="52" t="s">
        <v>142</v>
      </c>
      <c r="CR30" s="52" t="s">
        <v>142</v>
      </c>
      <c r="CS30" s="52" t="s">
        <v>142</v>
      </c>
      <c r="CT30" s="52" t="s">
        <v>146</v>
      </c>
      <c r="CU30" s="52" t="s">
        <v>142</v>
      </c>
      <c r="CV30" s="52" t="s">
        <v>142</v>
      </c>
      <c r="CW30" s="52" t="s">
        <v>142</v>
      </c>
      <c r="CX30" s="52" t="s">
        <v>142</v>
      </c>
      <c r="CY30" s="52" t="s">
        <v>142</v>
      </c>
      <c r="CZ30" s="59" t="s">
        <v>142</v>
      </c>
      <c r="DA30" s="74" t="s">
        <v>142</v>
      </c>
      <c r="DB30" s="75" t="s">
        <v>142</v>
      </c>
      <c r="DC30" s="50" t="s">
        <v>156</v>
      </c>
      <c r="DD30" s="50" t="s">
        <v>146</v>
      </c>
      <c r="DE30" s="50" t="s">
        <v>157</v>
      </c>
      <c r="DF30" s="50" t="s">
        <v>146</v>
      </c>
      <c r="DG30" s="73"/>
      <c r="DH30" s="73"/>
      <c r="DI30" s="74"/>
      <c r="DJ30" s="75"/>
      <c r="DK30" s="76" t="s">
        <v>146</v>
      </c>
      <c r="DL30" s="76" t="s">
        <v>146</v>
      </c>
      <c r="DM30" s="76" t="s">
        <v>146</v>
      </c>
      <c r="DN30" s="790"/>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30</v>
      </c>
      <c r="B31" s="49">
        <v>202609</v>
      </c>
      <c r="C31" s="50" t="s">
        <v>379</v>
      </c>
      <c r="D31" s="50" t="s">
        <v>174</v>
      </c>
      <c r="E31" s="51">
        <v>6003</v>
      </c>
      <c r="F31" s="52" t="s">
        <v>134</v>
      </c>
      <c r="G31" s="53" t="s">
        <v>347</v>
      </c>
      <c r="H31" s="52" t="s">
        <v>380</v>
      </c>
      <c r="I31" s="70" t="s">
        <v>381</v>
      </c>
      <c r="J31" s="60" t="s">
        <v>382</v>
      </c>
      <c r="K31" s="56" t="s">
        <v>383</v>
      </c>
      <c r="L31" s="55"/>
      <c r="M31" s="56" t="s">
        <v>384</v>
      </c>
      <c r="N31" s="57" t="s">
        <v>385</v>
      </c>
      <c r="O31" s="78" t="s">
        <v>146</v>
      </c>
      <c r="P31" s="59" t="s">
        <v>146</v>
      </c>
      <c r="Q31" s="60" t="s">
        <v>143</v>
      </c>
      <c r="R31" s="387" t="str">
        <f>VLOOKUP(Sheet_1_Table_1_137[[#This Row],[Learning Domain]],[7]List!$A$7:$B$12,2,0)</f>
        <v>CELD</v>
      </c>
      <c r="S31" s="55">
        <v>100</v>
      </c>
      <c r="T31" s="55">
        <v>0</v>
      </c>
      <c r="U31" s="55">
        <v>0</v>
      </c>
      <c r="V31" s="55">
        <v>0</v>
      </c>
      <c r="W31" s="55">
        <v>0</v>
      </c>
      <c r="X31" s="55">
        <v>0</v>
      </c>
      <c r="Y31" s="55">
        <v>0</v>
      </c>
      <c r="Z31" s="55">
        <v>0</v>
      </c>
      <c r="AA31" s="55">
        <v>0</v>
      </c>
      <c r="AB31" s="53">
        <v>100</v>
      </c>
      <c r="AC31" s="52" t="s">
        <v>144</v>
      </c>
      <c r="AD31" s="55" t="s">
        <v>386</v>
      </c>
      <c r="AE31" s="55" t="s">
        <v>142</v>
      </c>
      <c r="AF31" s="55" t="s">
        <v>142</v>
      </c>
      <c r="AG31" s="55" t="s">
        <v>146</v>
      </c>
      <c r="AH31" s="55">
        <v>1</v>
      </c>
      <c r="AI31" s="55">
        <v>80</v>
      </c>
      <c r="AJ31" s="62">
        <v>80</v>
      </c>
      <c r="AK31" s="63">
        <v>46302</v>
      </c>
      <c r="AL31" s="64">
        <f>WEEKDAY(Sheet_1_Table_1_137[[#This Row],[Lesson 1 
Date 
(DD-MMM-YYYY)]]
)</f>
        <v>4</v>
      </c>
      <c r="AM31" s="65">
        <v>0.45833333333333331</v>
      </c>
      <c r="AN31" s="66">
        <v>0.5</v>
      </c>
      <c r="AO31" s="67" t="s">
        <v>182</v>
      </c>
      <c r="AP31" s="68"/>
      <c r="AQ31" s="64">
        <v>7</v>
      </c>
      <c r="AR31" s="65"/>
      <c r="AS31" s="66"/>
      <c r="AT31" s="66"/>
      <c r="AU31" s="63"/>
      <c r="AV31" s="64">
        <v>7</v>
      </c>
      <c r="AW31" s="65"/>
      <c r="AX31" s="66"/>
      <c r="AY31" s="67"/>
      <c r="AZ31" s="68"/>
      <c r="BA31" s="64">
        <v>7</v>
      </c>
      <c r="BB31" s="65"/>
      <c r="BC31" s="66"/>
      <c r="BD31" s="66"/>
      <c r="BE31" s="63"/>
      <c r="BF31" s="64">
        <v>7</v>
      </c>
      <c r="BG31" s="65"/>
      <c r="BH31" s="66"/>
      <c r="BI31" s="67"/>
      <c r="BJ31" s="68"/>
      <c r="BK31" s="64">
        <v>7</v>
      </c>
      <c r="BL31" s="65"/>
      <c r="BM31" s="66"/>
      <c r="BN31" s="66"/>
      <c r="BO31" s="54" t="s">
        <v>163</v>
      </c>
      <c r="BP31" s="69" t="s">
        <v>387</v>
      </c>
      <c r="BQ31" s="55" t="s">
        <v>388</v>
      </c>
      <c r="BR31" s="57" t="s">
        <v>389</v>
      </c>
      <c r="BS31" s="52"/>
      <c r="BT31" s="56"/>
      <c r="BU31" s="56"/>
      <c r="BV31" s="70"/>
      <c r="BW31" s="60"/>
      <c r="BX31" s="71"/>
      <c r="BY31" s="56" t="s">
        <v>184</v>
      </c>
      <c r="BZ31" s="56"/>
      <c r="CA31" s="56" t="s">
        <v>184</v>
      </c>
      <c r="CB31" s="72" t="s">
        <v>390</v>
      </c>
      <c r="CC31" s="72" t="s">
        <v>390</v>
      </c>
      <c r="CD31" s="71" t="s">
        <v>390</v>
      </c>
      <c r="CE31" s="60" t="s">
        <v>391</v>
      </c>
      <c r="CF31" s="71" t="s">
        <v>392</v>
      </c>
      <c r="CG31" s="56" t="s">
        <v>393</v>
      </c>
      <c r="CH31" s="57" t="s">
        <v>394</v>
      </c>
      <c r="CI31" s="52" t="s">
        <v>146</v>
      </c>
      <c r="CJ31" s="52" t="s">
        <v>142</v>
      </c>
      <c r="CK31" s="52" t="s">
        <v>142</v>
      </c>
      <c r="CL31" s="52" t="s">
        <v>142</v>
      </c>
      <c r="CM31" s="52" t="s">
        <v>146</v>
      </c>
      <c r="CN31" s="52" t="s">
        <v>142</v>
      </c>
      <c r="CO31" s="52" t="s">
        <v>142</v>
      </c>
      <c r="CP31" s="52" t="s">
        <v>142</v>
      </c>
      <c r="CQ31" s="52" t="s">
        <v>142</v>
      </c>
      <c r="CR31" s="52" t="s">
        <v>142</v>
      </c>
      <c r="CS31" s="52" t="s">
        <v>142</v>
      </c>
      <c r="CT31" s="52" t="s">
        <v>142</v>
      </c>
      <c r="CU31" s="52" t="s">
        <v>142</v>
      </c>
      <c r="CV31" s="52" t="s">
        <v>142</v>
      </c>
      <c r="CW31" s="52" t="s">
        <v>142</v>
      </c>
      <c r="CX31" s="52" t="s">
        <v>142</v>
      </c>
      <c r="CY31" s="52" t="s">
        <v>146</v>
      </c>
      <c r="CZ31" s="59" t="s">
        <v>142</v>
      </c>
      <c r="DA31" s="74" t="s">
        <v>142</v>
      </c>
      <c r="DB31" s="75" t="s">
        <v>146</v>
      </c>
      <c r="DC31" s="50" t="s">
        <v>156</v>
      </c>
      <c r="DD31" s="50" t="s">
        <v>146</v>
      </c>
      <c r="DE31" s="50" t="s">
        <v>157</v>
      </c>
      <c r="DF31" s="50" t="s">
        <v>146</v>
      </c>
      <c r="DG31" s="73"/>
      <c r="DH31" s="73"/>
      <c r="DI31" s="74"/>
      <c r="DJ31" s="75"/>
      <c r="DK31" s="76" t="s">
        <v>146</v>
      </c>
      <c r="DL31" s="76" t="s">
        <v>146</v>
      </c>
      <c r="DM31" s="76" t="s">
        <v>146</v>
      </c>
      <c r="DN31" s="790"/>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31</v>
      </c>
      <c r="B32" s="49">
        <v>202609</v>
      </c>
      <c r="C32" s="50" t="s">
        <v>395</v>
      </c>
      <c r="D32" s="50" t="s">
        <v>133</v>
      </c>
      <c r="E32" s="51">
        <v>6022</v>
      </c>
      <c r="F32" s="52" t="s">
        <v>134</v>
      </c>
      <c r="G32" s="53" t="s">
        <v>347</v>
      </c>
      <c r="H32" s="52"/>
      <c r="I32" s="70"/>
      <c r="J32" s="60"/>
      <c r="K32" s="56" t="s">
        <v>396</v>
      </c>
      <c r="L32" s="55"/>
      <c r="M32" s="56" t="s">
        <v>397</v>
      </c>
      <c r="N32" s="57" t="s">
        <v>398</v>
      </c>
      <c r="O32" s="177" t="s">
        <v>142</v>
      </c>
      <c r="P32" s="59" t="s">
        <v>142</v>
      </c>
      <c r="Q32" s="60" t="s">
        <v>143</v>
      </c>
      <c r="R32" s="61" t="s">
        <v>399</v>
      </c>
      <c r="S32" s="55">
        <v>15</v>
      </c>
      <c r="T32" s="55">
        <v>0</v>
      </c>
      <c r="U32" s="55">
        <v>0</v>
      </c>
      <c r="V32" s="55">
        <v>0</v>
      </c>
      <c r="W32" s="55">
        <v>70</v>
      </c>
      <c r="X32" s="55">
        <v>0</v>
      </c>
      <c r="Y32" s="55">
        <v>0</v>
      </c>
      <c r="Z32" s="55">
        <v>0</v>
      </c>
      <c r="AA32" s="55">
        <v>15</v>
      </c>
      <c r="AB32" s="53">
        <v>100</v>
      </c>
      <c r="AC32" s="52" t="s">
        <v>245</v>
      </c>
      <c r="AD32" s="55" t="s">
        <v>190</v>
      </c>
      <c r="AE32" s="55" t="s">
        <v>146</v>
      </c>
      <c r="AF32" s="55" t="s">
        <v>142</v>
      </c>
      <c r="AG32" s="55" t="s">
        <v>142</v>
      </c>
      <c r="AH32" s="83">
        <v>2</v>
      </c>
      <c r="AI32" s="55">
        <v>20</v>
      </c>
      <c r="AJ32" s="62">
        <v>40</v>
      </c>
      <c r="AK32" s="63">
        <v>46302</v>
      </c>
      <c r="AL32" s="64">
        <f>WEEKDAY(Sheet_1_Table_1_137[[#This Row],[Lesson 1 
Date 
(DD-MMM-YYYY)]]
)</f>
        <v>4</v>
      </c>
      <c r="AM32" s="65">
        <v>0.77083333333333337</v>
      </c>
      <c r="AN32" s="66">
        <v>0.85416666666666663</v>
      </c>
      <c r="AO32" s="67" t="s">
        <v>400</v>
      </c>
      <c r="AP32" s="68">
        <v>46309</v>
      </c>
      <c r="AQ32" s="64">
        <v>4</v>
      </c>
      <c r="AR32" s="65">
        <v>0.77083333333333337</v>
      </c>
      <c r="AS32" s="66">
        <v>0.85416666666666663</v>
      </c>
      <c r="AT32" s="66" t="s">
        <v>400</v>
      </c>
      <c r="AU32" s="63"/>
      <c r="AV32" s="64">
        <v>7</v>
      </c>
      <c r="AW32" s="65"/>
      <c r="AX32" s="66"/>
      <c r="AY32" s="67"/>
      <c r="AZ32" s="68"/>
      <c r="BA32" s="64">
        <v>7</v>
      </c>
      <c r="BB32" s="65"/>
      <c r="BC32" s="66"/>
      <c r="BD32" s="66"/>
      <c r="BE32" s="63"/>
      <c r="BF32" s="64">
        <v>7</v>
      </c>
      <c r="BG32" s="65"/>
      <c r="BH32" s="66"/>
      <c r="BI32" s="67"/>
      <c r="BJ32" s="68"/>
      <c r="BK32" s="64">
        <v>7</v>
      </c>
      <c r="BL32" s="65"/>
      <c r="BM32" s="66"/>
      <c r="BN32" s="66"/>
      <c r="BO32" s="54" t="s">
        <v>293</v>
      </c>
      <c r="BP32" s="69" t="s">
        <v>401</v>
      </c>
      <c r="BQ32" s="55" t="s">
        <v>402</v>
      </c>
      <c r="BR32" s="57" t="s">
        <v>403</v>
      </c>
      <c r="BS32" s="52"/>
      <c r="BT32" s="56"/>
      <c r="BU32" s="56"/>
      <c r="BV32" s="70"/>
      <c r="BW32" s="60"/>
      <c r="BX32" s="71"/>
      <c r="BY32" s="56"/>
      <c r="BZ32" s="56"/>
      <c r="CA32" s="56"/>
      <c r="CB32" s="72"/>
      <c r="CC32" s="72"/>
      <c r="CD32" s="71"/>
      <c r="CE32" s="60" t="s">
        <v>404</v>
      </c>
      <c r="CF32" s="71" t="s">
        <v>405</v>
      </c>
      <c r="CG32" s="56" t="s">
        <v>406</v>
      </c>
      <c r="CH32" s="57" t="s">
        <v>407</v>
      </c>
      <c r="CI32" s="52" t="s">
        <v>146</v>
      </c>
      <c r="CJ32" s="52" t="s">
        <v>142</v>
      </c>
      <c r="CK32" s="52" t="s">
        <v>142</v>
      </c>
      <c r="CL32" s="52" t="s">
        <v>142</v>
      </c>
      <c r="CM32" s="52" t="s">
        <v>146</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74" t="s">
        <v>142</v>
      </c>
      <c r="DB32" s="75" t="s">
        <v>146</v>
      </c>
      <c r="DC32" s="50" t="s">
        <v>156</v>
      </c>
      <c r="DD32" s="50" t="s">
        <v>146</v>
      </c>
      <c r="DE32" s="50" t="s">
        <v>157</v>
      </c>
      <c r="DF32" s="50" t="s">
        <v>146</v>
      </c>
      <c r="DG32" s="73"/>
      <c r="DH32" s="73"/>
      <c r="DI32" s="74"/>
      <c r="DJ32" s="75"/>
      <c r="DK32" s="76" t="s">
        <v>146</v>
      </c>
      <c r="DL32" s="76" t="s">
        <v>146</v>
      </c>
      <c r="DM32" s="76" t="s">
        <v>146</v>
      </c>
      <c r="DN32" s="790"/>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32</v>
      </c>
      <c r="B33" s="49">
        <v>202609</v>
      </c>
      <c r="C33" s="50" t="s">
        <v>408</v>
      </c>
      <c r="D33" s="50" t="s">
        <v>174</v>
      </c>
      <c r="E33" s="51">
        <v>6005</v>
      </c>
      <c r="F33" s="52" t="s">
        <v>134</v>
      </c>
      <c r="G33" s="53" t="s">
        <v>347</v>
      </c>
      <c r="H33" s="52" t="s">
        <v>380</v>
      </c>
      <c r="I33" s="70" t="s">
        <v>381</v>
      </c>
      <c r="J33" s="60" t="s">
        <v>409</v>
      </c>
      <c r="K33" s="56" t="s">
        <v>410</v>
      </c>
      <c r="L33" s="55"/>
      <c r="M33" s="56" t="s">
        <v>411</v>
      </c>
      <c r="N33" s="57" t="s">
        <v>412</v>
      </c>
      <c r="O33" s="78" t="s">
        <v>146</v>
      </c>
      <c r="P33" s="59" t="s">
        <v>146</v>
      </c>
      <c r="Q33" s="60" t="s">
        <v>143</v>
      </c>
      <c r="R33" s="61" t="s">
        <v>399</v>
      </c>
      <c r="S33" s="55">
        <v>100</v>
      </c>
      <c r="T33" s="55">
        <v>0</v>
      </c>
      <c r="U33" s="55">
        <v>0</v>
      </c>
      <c r="V33" s="55">
        <v>0</v>
      </c>
      <c r="W33" s="55">
        <v>0</v>
      </c>
      <c r="X33" s="55">
        <v>0</v>
      </c>
      <c r="Y33" s="55">
        <v>0</v>
      </c>
      <c r="Z33" s="55">
        <v>0</v>
      </c>
      <c r="AA33" s="55">
        <v>0</v>
      </c>
      <c r="AB33" s="53">
        <v>100</v>
      </c>
      <c r="AC33" s="52" t="s">
        <v>144</v>
      </c>
      <c r="AD33" s="55" t="s">
        <v>386</v>
      </c>
      <c r="AE33" s="55" t="s">
        <v>142</v>
      </c>
      <c r="AF33" s="55" t="s">
        <v>146</v>
      </c>
      <c r="AG33" s="55" t="s">
        <v>142</v>
      </c>
      <c r="AH33" s="55">
        <v>1</v>
      </c>
      <c r="AI33" s="55">
        <v>80</v>
      </c>
      <c r="AJ33" s="62">
        <v>80</v>
      </c>
      <c r="AK33" s="63">
        <v>46307</v>
      </c>
      <c r="AL33" s="64">
        <f>WEEKDAY(Sheet_1_Table_1_137[[#This Row],[Lesson 1 
Date 
(DD-MMM-YYYY)]]
)</f>
        <v>2</v>
      </c>
      <c r="AM33" s="65">
        <v>0.625</v>
      </c>
      <c r="AN33" s="66">
        <v>0.66666666666666663</v>
      </c>
      <c r="AO33" s="67" t="s">
        <v>182</v>
      </c>
      <c r="AP33" s="68"/>
      <c r="AQ33" s="64">
        <v>7</v>
      </c>
      <c r="AR33" s="65"/>
      <c r="AS33" s="66"/>
      <c r="AT33" s="66"/>
      <c r="AU33" s="63"/>
      <c r="AV33" s="64">
        <v>7</v>
      </c>
      <c r="AW33" s="65"/>
      <c r="AX33" s="66"/>
      <c r="AY33" s="67"/>
      <c r="AZ33" s="68"/>
      <c r="BA33" s="64">
        <v>7</v>
      </c>
      <c r="BB33" s="65"/>
      <c r="BC33" s="66"/>
      <c r="BD33" s="66"/>
      <c r="BE33" s="63"/>
      <c r="BF33" s="64">
        <v>7</v>
      </c>
      <c r="BG33" s="65"/>
      <c r="BH33" s="66"/>
      <c r="BI33" s="67"/>
      <c r="BJ33" s="68"/>
      <c r="BK33" s="64">
        <v>7</v>
      </c>
      <c r="BL33" s="65"/>
      <c r="BM33" s="66"/>
      <c r="BN33" s="66"/>
      <c r="BO33" s="54" t="s">
        <v>293</v>
      </c>
      <c r="BP33" s="69" t="s">
        <v>413</v>
      </c>
      <c r="BQ33" s="55" t="s">
        <v>414</v>
      </c>
      <c r="BR33" s="57" t="s">
        <v>415</v>
      </c>
      <c r="BS33" s="52"/>
      <c r="BT33" s="56"/>
      <c r="BU33" s="56"/>
      <c r="BV33" s="70"/>
      <c r="BW33" s="60"/>
      <c r="BX33" s="71"/>
      <c r="BY33" s="56" t="s">
        <v>149</v>
      </c>
      <c r="BZ33" s="56"/>
      <c r="CA33" s="56" t="s">
        <v>149</v>
      </c>
      <c r="CB33" s="72" t="s">
        <v>390</v>
      </c>
      <c r="CC33" s="72" t="s">
        <v>390</v>
      </c>
      <c r="CD33" s="71" t="s">
        <v>390</v>
      </c>
      <c r="CE33" s="60" t="s">
        <v>391</v>
      </c>
      <c r="CF33" s="71" t="s">
        <v>392</v>
      </c>
      <c r="CG33" s="56" t="s">
        <v>393</v>
      </c>
      <c r="CH33" s="57" t="s">
        <v>394</v>
      </c>
      <c r="CI33" s="52" t="s">
        <v>146</v>
      </c>
      <c r="CJ33" s="52" t="s">
        <v>142</v>
      </c>
      <c r="CK33" s="52" t="s">
        <v>142</v>
      </c>
      <c r="CL33" s="52" t="s">
        <v>142</v>
      </c>
      <c r="CM33" s="52" t="s">
        <v>142</v>
      </c>
      <c r="CN33" s="52" t="s">
        <v>142</v>
      </c>
      <c r="CO33" s="52" t="s">
        <v>142</v>
      </c>
      <c r="CP33" s="52" t="s">
        <v>142</v>
      </c>
      <c r="CQ33" s="52" t="s">
        <v>142</v>
      </c>
      <c r="CR33" s="52" t="s">
        <v>142</v>
      </c>
      <c r="CS33" s="52" t="s">
        <v>146</v>
      </c>
      <c r="CT33" s="52" t="s">
        <v>142</v>
      </c>
      <c r="CU33" s="52" t="s">
        <v>142</v>
      </c>
      <c r="CV33" s="52" t="s">
        <v>142</v>
      </c>
      <c r="CW33" s="52" t="s">
        <v>142</v>
      </c>
      <c r="CX33" s="52" t="s">
        <v>142</v>
      </c>
      <c r="CY33" s="52" t="s">
        <v>146</v>
      </c>
      <c r="CZ33" s="59" t="s">
        <v>142</v>
      </c>
      <c r="DA33" s="74" t="s">
        <v>142</v>
      </c>
      <c r="DB33" s="75" t="s">
        <v>146</v>
      </c>
      <c r="DC33" s="50" t="s">
        <v>156</v>
      </c>
      <c r="DD33" s="50" t="s">
        <v>146</v>
      </c>
      <c r="DE33" s="50" t="s">
        <v>157</v>
      </c>
      <c r="DF33" s="50" t="s">
        <v>146</v>
      </c>
      <c r="DG33" s="73"/>
      <c r="DH33" s="73"/>
      <c r="DI33" s="74"/>
      <c r="DJ33" s="75"/>
      <c r="DK33" s="76" t="s">
        <v>146</v>
      </c>
      <c r="DL33" s="76" t="s">
        <v>146</v>
      </c>
      <c r="DM33" s="76" t="s">
        <v>146</v>
      </c>
      <c r="DN33" s="790"/>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33</v>
      </c>
      <c r="B34" s="49">
        <v>202609</v>
      </c>
      <c r="C34" s="50" t="s">
        <v>416</v>
      </c>
      <c r="D34" s="50" t="s">
        <v>174</v>
      </c>
      <c r="E34" s="51">
        <v>6006</v>
      </c>
      <c r="F34" s="52" t="s">
        <v>134</v>
      </c>
      <c r="G34" s="53" t="s">
        <v>347</v>
      </c>
      <c r="H34" s="52" t="s">
        <v>380</v>
      </c>
      <c r="I34" s="70" t="s">
        <v>381</v>
      </c>
      <c r="J34" s="60" t="s">
        <v>417</v>
      </c>
      <c r="K34" s="56" t="s">
        <v>418</v>
      </c>
      <c r="L34" s="55"/>
      <c r="M34" s="56" t="s">
        <v>419</v>
      </c>
      <c r="N34" s="57" t="s">
        <v>420</v>
      </c>
      <c r="O34" s="78" t="s">
        <v>146</v>
      </c>
      <c r="P34" s="59" t="s">
        <v>146</v>
      </c>
      <c r="Q34" s="60" t="s">
        <v>143</v>
      </c>
      <c r="R34" s="77" t="s">
        <v>399</v>
      </c>
      <c r="S34" s="55">
        <v>100</v>
      </c>
      <c r="T34" s="55">
        <v>0</v>
      </c>
      <c r="U34" s="55">
        <v>0</v>
      </c>
      <c r="V34" s="55">
        <v>0</v>
      </c>
      <c r="W34" s="55">
        <v>0</v>
      </c>
      <c r="X34" s="55">
        <v>0</v>
      </c>
      <c r="Y34" s="55">
        <v>0</v>
      </c>
      <c r="Z34" s="55">
        <v>0</v>
      </c>
      <c r="AA34" s="55">
        <v>0</v>
      </c>
      <c r="AB34" s="53">
        <v>100</v>
      </c>
      <c r="AC34" s="52" t="s">
        <v>144</v>
      </c>
      <c r="AD34" s="55" t="s">
        <v>386</v>
      </c>
      <c r="AE34" s="55" t="s">
        <v>146</v>
      </c>
      <c r="AF34" s="55" t="s">
        <v>142</v>
      </c>
      <c r="AG34" s="55" t="s">
        <v>142</v>
      </c>
      <c r="AH34" s="55">
        <v>1</v>
      </c>
      <c r="AI34" s="55">
        <v>80</v>
      </c>
      <c r="AJ34" s="62">
        <v>80</v>
      </c>
      <c r="AK34" s="63">
        <v>46309</v>
      </c>
      <c r="AL34" s="64">
        <f>WEEKDAY(Sheet_1_Table_1_137[[#This Row],[Lesson 1 
Date 
(DD-MMM-YYYY)]]
)</f>
        <v>4</v>
      </c>
      <c r="AM34" s="65">
        <v>0.625</v>
      </c>
      <c r="AN34" s="66">
        <v>0.66666666666666663</v>
      </c>
      <c r="AO34" s="67" t="s">
        <v>182</v>
      </c>
      <c r="AP34" s="68"/>
      <c r="AQ34" s="64">
        <v>7</v>
      </c>
      <c r="AR34" s="65"/>
      <c r="AS34" s="66"/>
      <c r="AT34" s="66"/>
      <c r="AU34" s="63"/>
      <c r="AV34" s="64">
        <v>7</v>
      </c>
      <c r="AW34" s="65"/>
      <c r="AX34" s="66"/>
      <c r="AY34" s="67"/>
      <c r="AZ34" s="68"/>
      <c r="BA34" s="64">
        <v>7</v>
      </c>
      <c r="BB34" s="65"/>
      <c r="BC34" s="66"/>
      <c r="BD34" s="66"/>
      <c r="BE34" s="63"/>
      <c r="BF34" s="64">
        <v>7</v>
      </c>
      <c r="BG34" s="65"/>
      <c r="BH34" s="66"/>
      <c r="BI34" s="67"/>
      <c r="BJ34" s="68"/>
      <c r="BK34" s="64">
        <v>7</v>
      </c>
      <c r="BL34" s="65"/>
      <c r="BM34" s="66"/>
      <c r="BN34" s="66"/>
      <c r="BO34" s="54" t="s">
        <v>163</v>
      </c>
      <c r="BP34" s="69" t="s">
        <v>421</v>
      </c>
      <c r="BQ34" s="55" t="s">
        <v>422</v>
      </c>
      <c r="BR34" s="57" t="s">
        <v>423</v>
      </c>
      <c r="BS34" s="52"/>
      <c r="BT34" s="56"/>
      <c r="BU34" s="56"/>
      <c r="BV34" s="70"/>
      <c r="BW34" s="60"/>
      <c r="BX34" s="71"/>
      <c r="BY34" s="56" t="s">
        <v>184</v>
      </c>
      <c r="BZ34" s="56"/>
      <c r="CA34" s="56" t="s">
        <v>184</v>
      </c>
      <c r="CB34" s="72" t="s">
        <v>390</v>
      </c>
      <c r="CC34" s="72" t="s">
        <v>390</v>
      </c>
      <c r="CD34" s="71" t="s">
        <v>390</v>
      </c>
      <c r="CE34" s="60" t="s">
        <v>391</v>
      </c>
      <c r="CF34" s="71" t="s">
        <v>392</v>
      </c>
      <c r="CG34" s="56" t="s">
        <v>393</v>
      </c>
      <c r="CH34" s="57" t="s">
        <v>394</v>
      </c>
      <c r="CI34" s="52" t="s">
        <v>146</v>
      </c>
      <c r="CJ34" s="52" t="s">
        <v>142</v>
      </c>
      <c r="CK34" s="52" t="s">
        <v>142</v>
      </c>
      <c r="CL34" s="52" t="s">
        <v>142</v>
      </c>
      <c r="CM34" s="52" t="s">
        <v>142</v>
      </c>
      <c r="CN34" s="52" t="s">
        <v>146</v>
      </c>
      <c r="CO34" s="52" t="s">
        <v>142</v>
      </c>
      <c r="CP34" s="52" t="s">
        <v>142</v>
      </c>
      <c r="CQ34" s="52" t="s">
        <v>142</v>
      </c>
      <c r="CR34" s="52" t="s">
        <v>142</v>
      </c>
      <c r="CS34" s="52" t="s">
        <v>146</v>
      </c>
      <c r="CT34" s="52" t="s">
        <v>142</v>
      </c>
      <c r="CU34" s="52" t="s">
        <v>142</v>
      </c>
      <c r="CV34" s="52" t="s">
        <v>142</v>
      </c>
      <c r="CW34" s="52" t="s">
        <v>142</v>
      </c>
      <c r="CX34" s="52" t="s">
        <v>142</v>
      </c>
      <c r="CY34" s="52" t="s">
        <v>146</v>
      </c>
      <c r="CZ34" s="59" t="s">
        <v>142</v>
      </c>
      <c r="DA34" s="74" t="s">
        <v>142</v>
      </c>
      <c r="DB34" s="75" t="s">
        <v>146</v>
      </c>
      <c r="DC34" s="50" t="s">
        <v>156</v>
      </c>
      <c r="DD34" s="50" t="s">
        <v>146</v>
      </c>
      <c r="DE34" s="50" t="s">
        <v>157</v>
      </c>
      <c r="DF34" s="50" t="s">
        <v>146</v>
      </c>
      <c r="DG34" s="73"/>
      <c r="DH34" s="73"/>
      <c r="DI34" s="74"/>
      <c r="DJ34" s="75"/>
      <c r="DK34" s="76" t="s">
        <v>146</v>
      </c>
      <c r="DL34" s="76" t="s">
        <v>146</v>
      </c>
      <c r="DM34" s="76" t="s">
        <v>146</v>
      </c>
      <c r="DN34" s="790"/>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34</v>
      </c>
      <c r="B35" s="49"/>
      <c r="C35" s="50"/>
      <c r="D35" s="50"/>
      <c r="E35" s="51"/>
      <c r="F35" s="52"/>
      <c r="G35" s="53"/>
      <c r="H35" s="97"/>
      <c r="I35" s="57"/>
      <c r="J35" s="60"/>
      <c r="K35" s="628"/>
      <c r="L35" s="331"/>
      <c r="M35" s="56" t="s">
        <v>424</v>
      </c>
      <c r="N35" s="57"/>
      <c r="O35" s="114"/>
      <c r="P35" s="96"/>
      <c r="Q35" s="60"/>
      <c r="R35" s="61" t="e">
        <f>VLOOKUP(Sheet_1_Table_1_137[[#This Row],[Learning Domain]],[7]List!$A$7:$B$12,2,0)</f>
        <v>#N/A</v>
      </c>
      <c r="S35" s="55">
        <v>0</v>
      </c>
      <c r="T35" s="55">
        <v>0</v>
      </c>
      <c r="U35" s="55">
        <v>0</v>
      </c>
      <c r="V35" s="55">
        <v>0</v>
      </c>
      <c r="W35" s="55">
        <v>0</v>
      </c>
      <c r="X35" s="55">
        <v>0</v>
      </c>
      <c r="Y35" s="55">
        <v>0</v>
      </c>
      <c r="Z35" s="55">
        <v>0</v>
      </c>
      <c r="AA35" s="55">
        <v>0</v>
      </c>
      <c r="AB35" s="53">
        <f>SUM(Sheet_1_Table_1_137[[#This Row],[Leadership LS]:[Career Development  CR]])</f>
        <v>0</v>
      </c>
      <c r="AC35" s="97"/>
      <c r="AD35" s="55"/>
      <c r="AE35" s="55" t="s">
        <v>142</v>
      </c>
      <c r="AF35" s="55" t="s">
        <v>142</v>
      </c>
      <c r="AG35" s="55" t="s">
        <v>142</v>
      </c>
      <c r="AH35" s="55"/>
      <c r="AI35" s="55"/>
      <c r="AJ35" s="62">
        <f>Sheet_1_Table_1_137[[#This Row],[ILP Units Per Session]]*Sheet_1_Table_1_137[[#This Row],[Quota]]</f>
        <v>0</v>
      </c>
      <c r="AK35" s="63"/>
      <c r="AL35" s="64">
        <f>WEEKDAY(Sheet_1_Table_1_137[[#This Row],[Lesson 1 
Date 
(DD-MMM-YYYY)]])</f>
        <v>7</v>
      </c>
      <c r="AM35" s="65"/>
      <c r="AN35" s="66"/>
      <c r="AO35" s="67"/>
      <c r="AP35" s="68"/>
      <c r="AQ35" s="64">
        <f>WEEKDAY(Sheet_1_Table_1_137[[#This Row],[Lesson 1 
Date 
(DD-MMM-YYYY)]])</f>
        <v>7</v>
      </c>
      <c r="AR35" s="65"/>
      <c r="AS35" s="66"/>
      <c r="AT35" s="126"/>
      <c r="AU35" s="63"/>
      <c r="AV35" s="64" t="e">
        <f>WEEKDAY([8]!Sheet_1_Table_1_13[[#This Row],[Lesson 3
Date 
(DD-MMM-YYYY)]])</f>
        <v>#REF!</v>
      </c>
      <c r="AW35" s="65"/>
      <c r="AX35" s="66"/>
      <c r="AY35" s="126"/>
      <c r="AZ35" s="98"/>
      <c r="BA35" s="64" t="e">
        <f>WEEKDAY([8]!Sheet_1_Table_1_13[[#This Row],[Lesson 4
Date 
(DD-MMM-YYYY)]])</f>
        <v>#REF!</v>
      </c>
      <c r="BB35" s="65"/>
      <c r="BC35" s="66"/>
      <c r="BD35" s="126"/>
      <c r="BE35" s="63"/>
      <c r="BF35" s="64" t="e">
        <f>WEEKDAY([8]!Sheet_1_Table_1_13[[#This Row],[Lesson 5
Date 
(DD-MMM-YYYY)]])</f>
        <v>#REF!</v>
      </c>
      <c r="BG35" s="65"/>
      <c r="BH35" s="66"/>
      <c r="BI35" s="126"/>
      <c r="BJ35" s="98"/>
      <c r="BK35" s="64" t="e">
        <f>WEEKDAY([8]!Sheet_1_Table_1_13[[#This Row],[Lesson 6
Date 
(DD-MMM-YYYY)]])</f>
        <v>#REF!</v>
      </c>
      <c r="BL35" s="65"/>
      <c r="BM35" s="66"/>
      <c r="BN35" s="99"/>
      <c r="BO35" s="54"/>
      <c r="BP35" s="69"/>
      <c r="BQ35" s="55"/>
      <c r="BR35" s="57"/>
      <c r="BS35" s="54"/>
      <c r="BT35" s="56"/>
      <c r="BU35" s="56"/>
      <c r="BV35" s="57"/>
      <c r="BW35" s="60"/>
      <c r="BX35" s="187"/>
      <c r="BY35" s="56"/>
      <c r="BZ35" s="56"/>
      <c r="CA35" s="56"/>
      <c r="CB35" s="72"/>
      <c r="CC35" s="72"/>
      <c r="CD35" s="72"/>
      <c r="CE35" s="60"/>
      <c r="CF35" s="72"/>
      <c r="CG35" s="56"/>
      <c r="CH35" s="57"/>
      <c r="CI35" s="52" t="s">
        <v>142</v>
      </c>
      <c r="CJ35" s="52" t="s">
        <v>142</v>
      </c>
      <c r="CK35" s="52" t="s">
        <v>142</v>
      </c>
      <c r="CL35" s="52" t="s">
        <v>142</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N35" s="790"/>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35</v>
      </c>
      <c r="B36" s="49"/>
      <c r="C36" s="50"/>
      <c r="D36" s="50"/>
      <c r="E36" s="51"/>
      <c r="F36" s="52"/>
      <c r="G36" s="53"/>
      <c r="H36" s="97"/>
      <c r="I36" s="57"/>
      <c r="J36" s="60"/>
      <c r="K36" s="628"/>
      <c r="L36" s="331"/>
      <c r="M36" s="56" t="s">
        <v>424</v>
      </c>
      <c r="N36" s="57"/>
      <c r="O36" s="114"/>
      <c r="P36" s="96"/>
      <c r="Q36" s="60"/>
      <c r="R36" s="77" t="e">
        <f>VLOOKUP(Sheet_1_Table_1_137[[#This Row],[Learning Domain]],[7]List!$A$7:$B$12,2,0)</f>
        <v>#N/A</v>
      </c>
      <c r="S36" s="55">
        <v>0</v>
      </c>
      <c r="T36" s="55">
        <v>0</v>
      </c>
      <c r="U36" s="55">
        <v>0</v>
      </c>
      <c r="V36" s="55">
        <v>0</v>
      </c>
      <c r="W36" s="55">
        <v>0</v>
      </c>
      <c r="X36" s="55">
        <v>0</v>
      </c>
      <c r="Y36" s="55">
        <v>0</v>
      </c>
      <c r="Z36" s="55">
        <v>0</v>
      </c>
      <c r="AA36" s="55">
        <v>0</v>
      </c>
      <c r="AB36" s="53">
        <f>SUM(Sheet_1_Table_1_137[[#This Row],[Leadership LS]:[Career Development  CR]])</f>
        <v>0</v>
      </c>
      <c r="AC36" s="97"/>
      <c r="AD36" s="55"/>
      <c r="AE36" s="55" t="s">
        <v>142</v>
      </c>
      <c r="AF36" s="55" t="s">
        <v>142</v>
      </c>
      <c r="AG36" s="55" t="s">
        <v>142</v>
      </c>
      <c r="AH36" s="55"/>
      <c r="AI36" s="55"/>
      <c r="AJ36" s="62">
        <f>Sheet_1_Table_1_137[[#This Row],[ILP Units Per Session]]*Sheet_1_Table_1_137[[#This Row],[Quota]]</f>
        <v>0</v>
      </c>
      <c r="AK36" s="63"/>
      <c r="AL36" s="64">
        <f>WEEKDAY(Sheet_1_Table_1_137[[#This Row],[Lesson 1 
Date 
(DD-MMM-YYYY)]])</f>
        <v>7</v>
      </c>
      <c r="AM36" s="65"/>
      <c r="AN36" s="66"/>
      <c r="AO36" s="67"/>
      <c r="AP36" s="68"/>
      <c r="AQ36" s="64">
        <f>WEEKDAY(Sheet_1_Table_1_137[[#This Row],[Lesson 1 
Date 
(DD-MMM-YYYY)]])</f>
        <v>7</v>
      </c>
      <c r="AR36" s="65"/>
      <c r="AS36" s="66"/>
      <c r="AT36" s="126"/>
      <c r="AU36" s="63"/>
      <c r="AV36" s="64" t="e">
        <f>WEEKDAY([8]!Sheet_1_Table_1_13[[#This Row],[Lesson 3
Date 
(DD-MMM-YYYY)]])</f>
        <v>#REF!</v>
      </c>
      <c r="AW36" s="65"/>
      <c r="AX36" s="66"/>
      <c r="AY36" s="126"/>
      <c r="AZ36" s="98"/>
      <c r="BA36" s="64" t="e">
        <f>WEEKDAY([8]!Sheet_1_Table_1_13[[#This Row],[Lesson 4
Date 
(DD-MMM-YYYY)]])</f>
        <v>#REF!</v>
      </c>
      <c r="BB36" s="65"/>
      <c r="BC36" s="66"/>
      <c r="BD36" s="126"/>
      <c r="BE36" s="63"/>
      <c r="BF36" s="64" t="e">
        <f>WEEKDAY([8]!Sheet_1_Table_1_13[[#This Row],[Lesson 5
Date 
(DD-MMM-YYYY)]])</f>
        <v>#REF!</v>
      </c>
      <c r="BG36" s="65"/>
      <c r="BH36" s="66"/>
      <c r="BI36" s="126"/>
      <c r="BJ36" s="98"/>
      <c r="BK36" s="64" t="e">
        <f>WEEKDAY([8]!Sheet_1_Table_1_13[[#This Row],[Lesson 6
Date 
(DD-MMM-YYYY)]])</f>
        <v>#REF!</v>
      </c>
      <c r="BL36" s="65"/>
      <c r="BM36" s="66"/>
      <c r="BN36" s="99"/>
      <c r="BO36" s="54"/>
      <c r="BP36" s="69"/>
      <c r="BQ36" s="55"/>
      <c r="BR36" s="57"/>
      <c r="BS36" s="54"/>
      <c r="BT36" s="56"/>
      <c r="BU36" s="56"/>
      <c r="BV36" s="57"/>
      <c r="BW36" s="60"/>
      <c r="BX36" s="187"/>
      <c r="BY36" s="56"/>
      <c r="BZ36" s="56"/>
      <c r="CA36" s="56"/>
      <c r="CB36" s="72"/>
      <c r="CC36" s="72"/>
      <c r="CD36" s="72"/>
      <c r="CE36" s="60"/>
      <c r="CF36" s="72"/>
      <c r="CG36" s="56"/>
      <c r="CH36" s="57"/>
      <c r="CI36" s="52" t="s">
        <v>142</v>
      </c>
      <c r="CJ36" s="52" t="s">
        <v>142</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N36" s="790"/>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36</v>
      </c>
      <c r="B37" s="49"/>
      <c r="C37" s="50"/>
      <c r="D37" s="50"/>
      <c r="E37" s="51"/>
      <c r="F37" s="52"/>
      <c r="G37" s="53"/>
      <c r="H37" s="97"/>
      <c r="I37" s="57"/>
      <c r="J37" s="60"/>
      <c r="K37" s="628"/>
      <c r="L37" s="331"/>
      <c r="M37" s="56" t="s">
        <v>424</v>
      </c>
      <c r="N37" s="57"/>
      <c r="O37" s="114"/>
      <c r="P37" s="96"/>
      <c r="Q37" s="60"/>
      <c r="R37" s="61" t="e">
        <f>VLOOKUP(Sheet_1_Table_1_137[[#This Row],[Learning Domain]],[7]List!$A$7:$B$12,2,0)</f>
        <v>#N/A</v>
      </c>
      <c r="S37" s="55">
        <v>0</v>
      </c>
      <c r="T37" s="55">
        <v>0</v>
      </c>
      <c r="U37" s="55">
        <v>0</v>
      </c>
      <c r="V37" s="55">
        <v>0</v>
      </c>
      <c r="W37" s="55">
        <v>0</v>
      </c>
      <c r="X37" s="55">
        <v>0</v>
      </c>
      <c r="Y37" s="55">
        <v>0</v>
      </c>
      <c r="Z37" s="55">
        <v>0</v>
      </c>
      <c r="AA37" s="55">
        <v>0</v>
      </c>
      <c r="AB37" s="53">
        <f>SUM(Sheet_1_Table_1_137[[#This Row],[Leadership LS]:[Career Development  CR]])</f>
        <v>0</v>
      </c>
      <c r="AC37" s="97"/>
      <c r="AD37" s="55"/>
      <c r="AE37" s="55" t="s">
        <v>142</v>
      </c>
      <c r="AF37" s="55" t="s">
        <v>142</v>
      </c>
      <c r="AG37" s="55" t="s">
        <v>142</v>
      </c>
      <c r="AH37" s="55"/>
      <c r="AI37" s="55"/>
      <c r="AJ37" s="62">
        <f>Sheet_1_Table_1_137[[#This Row],[ILP Units Per Session]]*Sheet_1_Table_1_137[[#This Row],[Quota]]</f>
        <v>0</v>
      </c>
      <c r="AK37" s="63"/>
      <c r="AL37" s="64">
        <f>WEEKDAY(Sheet_1_Table_1_137[[#This Row],[Lesson 1 
Date 
(DD-MMM-YYYY)]])</f>
        <v>7</v>
      </c>
      <c r="AM37" s="65"/>
      <c r="AN37" s="66"/>
      <c r="AO37" s="67"/>
      <c r="AP37" s="68"/>
      <c r="AQ37" s="64">
        <f>WEEKDAY(Sheet_1_Table_1_137[[#This Row],[Lesson 1 
Date 
(DD-MMM-YYYY)]])</f>
        <v>7</v>
      </c>
      <c r="AR37" s="65"/>
      <c r="AS37" s="66"/>
      <c r="AT37" s="126"/>
      <c r="AU37" s="63"/>
      <c r="AV37" s="64" t="e">
        <f>WEEKDAY([8]!Sheet_1_Table_1_13[[#This Row],[Lesson 3
Date 
(DD-MMM-YYYY)]])</f>
        <v>#REF!</v>
      </c>
      <c r="AW37" s="65"/>
      <c r="AX37" s="66"/>
      <c r="AY37" s="126"/>
      <c r="AZ37" s="98"/>
      <c r="BA37" s="64" t="e">
        <f>WEEKDAY([8]!Sheet_1_Table_1_13[[#This Row],[Lesson 4
Date 
(DD-MMM-YYYY)]])</f>
        <v>#REF!</v>
      </c>
      <c r="BB37" s="65"/>
      <c r="BC37" s="66"/>
      <c r="BD37" s="126"/>
      <c r="BE37" s="63"/>
      <c r="BF37" s="64" t="e">
        <f>WEEKDAY([8]!Sheet_1_Table_1_13[[#This Row],[Lesson 5
Date 
(DD-MMM-YYYY)]])</f>
        <v>#REF!</v>
      </c>
      <c r="BG37" s="65"/>
      <c r="BH37" s="66"/>
      <c r="BI37" s="126"/>
      <c r="BJ37" s="98"/>
      <c r="BK37" s="64" t="e">
        <f>WEEKDAY([8]!Sheet_1_Table_1_13[[#This Row],[Lesson 6
Date 
(DD-MMM-YYYY)]])</f>
        <v>#REF!</v>
      </c>
      <c r="BL37" s="65"/>
      <c r="BM37" s="66"/>
      <c r="BN37" s="99"/>
      <c r="BO37" s="54"/>
      <c r="BP37" s="69"/>
      <c r="BQ37" s="55"/>
      <c r="BR37" s="57"/>
      <c r="BS37" s="54"/>
      <c r="BT37" s="56"/>
      <c r="BU37" s="56"/>
      <c r="BV37" s="57"/>
      <c r="BW37" s="60"/>
      <c r="BX37" s="187"/>
      <c r="BY37" s="56"/>
      <c r="BZ37" s="56"/>
      <c r="CA37" s="56"/>
      <c r="CB37" s="72"/>
      <c r="CC37" s="72"/>
      <c r="CD37" s="72"/>
      <c r="CE37" s="60"/>
      <c r="CF37" s="72"/>
      <c r="CG37" s="56"/>
      <c r="CH37" s="57"/>
      <c r="CI37" s="52" t="s">
        <v>142</v>
      </c>
      <c r="CJ37" s="52" t="s">
        <v>142</v>
      </c>
      <c r="CK37" s="52" t="s">
        <v>142</v>
      </c>
      <c r="CL37" s="52" t="s">
        <v>142</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N37" s="790"/>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37</v>
      </c>
      <c r="B38" s="49"/>
      <c r="C38" s="50"/>
      <c r="D38" s="50"/>
      <c r="E38" s="51"/>
      <c r="F38" s="52"/>
      <c r="G38" s="53"/>
      <c r="H38" s="97"/>
      <c r="I38" s="57"/>
      <c r="J38" s="60"/>
      <c r="K38" s="628"/>
      <c r="L38" s="331"/>
      <c r="M38" s="56" t="s">
        <v>424</v>
      </c>
      <c r="N38" s="57"/>
      <c r="O38" s="114"/>
      <c r="P38" s="96"/>
      <c r="Q38" s="60"/>
      <c r="R38" s="77" t="e">
        <f>VLOOKUP(Sheet_1_Table_1_137[[#This Row],[Learning Domain]],[7]List!$A$7:$B$12,2,0)</f>
        <v>#N/A</v>
      </c>
      <c r="S38" s="55">
        <v>0</v>
      </c>
      <c r="T38" s="55">
        <v>0</v>
      </c>
      <c r="U38" s="55">
        <v>0</v>
      </c>
      <c r="V38" s="55">
        <v>0</v>
      </c>
      <c r="W38" s="55">
        <v>0</v>
      </c>
      <c r="X38" s="55">
        <v>0</v>
      </c>
      <c r="Y38" s="55">
        <v>0</v>
      </c>
      <c r="Z38" s="55">
        <v>0</v>
      </c>
      <c r="AA38" s="55">
        <v>0</v>
      </c>
      <c r="AB38" s="53">
        <f>SUM(Sheet_1_Table_1_137[[#This Row],[Leadership LS]:[Career Development  CR]])</f>
        <v>0</v>
      </c>
      <c r="AC38" s="97"/>
      <c r="AD38" s="55"/>
      <c r="AE38" s="55" t="s">
        <v>142</v>
      </c>
      <c r="AF38" s="55" t="s">
        <v>142</v>
      </c>
      <c r="AG38" s="55" t="s">
        <v>142</v>
      </c>
      <c r="AH38" s="55"/>
      <c r="AI38" s="55"/>
      <c r="AJ38" s="62">
        <f>Sheet_1_Table_1_137[[#This Row],[ILP Units Per Session]]*Sheet_1_Table_1_137[[#This Row],[Quota]]</f>
        <v>0</v>
      </c>
      <c r="AK38" s="63"/>
      <c r="AL38" s="64">
        <f>WEEKDAY(Sheet_1_Table_1_137[[#This Row],[Lesson 1 
Date 
(DD-MMM-YYYY)]])</f>
        <v>7</v>
      </c>
      <c r="AM38" s="65"/>
      <c r="AN38" s="66"/>
      <c r="AO38" s="67"/>
      <c r="AP38" s="68"/>
      <c r="AQ38" s="64">
        <f>WEEKDAY(Sheet_1_Table_1_137[[#This Row],[Lesson 1 
Date 
(DD-MMM-YYYY)]])</f>
        <v>7</v>
      </c>
      <c r="AR38" s="65"/>
      <c r="AS38" s="66"/>
      <c r="AT38" s="126"/>
      <c r="AU38" s="63"/>
      <c r="AV38" s="64" t="e">
        <f>WEEKDAY([8]!Sheet_1_Table_1_13[[#This Row],[Lesson 3
Date 
(DD-MMM-YYYY)]])</f>
        <v>#REF!</v>
      </c>
      <c r="AW38" s="65"/>
      <c r="AX38" s="66"/>
      <c r="AY38" s="126"/>
      <c r="AZ38" s="98"/>
      <c r="BA38" s="64" t="e">
        <f>WEEKDAY([8]!Sheet_1_Table_1_13[[#This Row],[Lesson 4
Date 
(DD-MMM-YYYY)]])</f>
        <v>#REF!</v>
      </c>
      <c r="BB38" s="65"/>
      <c r="BC38" s="66"/>
      <c r="BD38" s="126"/>
      <c r="BE38" s="63"/>
      <c r="BF38" s="64" t="e">
        <f>WEEKDAY([8]!Sheet_1_Table_1_13[[#This Row],[Lesson 5
Date 
(DD-MMM-YYYY)]])</f>
        <v>#REF!</v>
      </c>
      <c r="BG38" s="65"/>
      <c r="BH38" s="66"/>
      <c r="BI38" s="126"/>
      <c r="BJ38" s="98"/>
      <c r="BK38" s="64" t="e">
        <f>WEEKDAY([8]!Sheet_1_Table_1_13[[#This Row],[Lesson 6
Date 
(DD-MMM-YYYY)]])</f>
        <v>#REF!</v>
      </c>
      <c r="BL38" s="65"/>
      <c r="BM38" s="66"/>
      <c r="BN38" s="99"/>
      <c r="BO38" s="54"/>
      <c r="BP38" s="69"/>
      <c r="BQ38" s="55"/>
      <c r="BR38" s="57"/>
      <c r="BS38" s="54"/>
      <c r="BT38" s="56"/>
      <c r="BU38" s="56"/>
      <c r="BV38" s="57"/>
      <c r="BW38" s="60"/>
      <c r="BX38" s="187"/>
      <c r="BY38" s="56"/>
      <c r="BZ38" s="56"/>
      <c r="CA38" s="56"/>
      <c r="CB38" s="72"/>
      <c r="CC38" s="72"/>
      <c r="CD38" s="72"/>
      <c r="CE38" s="60"/>
      <c r="CF38" s="72"/>
      <c r="CG38" s="56"/>
      <c r="CH38" s="57"/>
      <c r="CI38" s="52" t="s">
        <v>142</v>
      </c>
      <c r="CJ38" s="52" t="s">
        <v>142</v>
      </c>
      <c r="CK38" s="52" t="s">
        <v>142</v>
      </c>
      <c r="CL38" s="52" t="s">
        <v>142</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N38" s="790"/>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38</v>
      </c>
      <c r="B39" s="49"/>
      <c r="C39" s="50"/>
      <c r="D39" s="50"/>
      <c r="E39" s="51"/>
      <c r="F39" s="52"/>
      <c r="G39" s="53"/>
      <c r="H39" s="97"/>
      <c r="I39" s="57"/>
      <c r="J39" s="60"/>
      <c r="K39" s="628"/>
      <c r="L39" s="331"/>
      <c r="M39" s="56" t="s">
        <v>424</v>
      </c>
      <c r="N39" s="57"/>
      <c r="O39" s="114"/>
      <c r="P39" s="96"/>
      <c r="Q39" s="60"/>
      <c r="R39" s="61" t="e">
        <f>VLOOKUP(Sheet_1_Table_1_137[[#This Row],[Learning Domain]],[7]List!$A$7:$B$12,2,0)</f>
        <v>#N/A</v>
      </c>
      <c r="S39" s="55">
        <v>0</v>
      </c>
      <c r="T39" s="55">
        <v>0</v>
      </c>
      <c r="U39" s="55">
        <v>0</v>
      </c>
      <c r="V39" s="55">
        <v>0</v>
      </c>
      <c r="W39" s="55">
        <v>0</v>
      </c>
      <c r="X39" s="55">
        <v>0</v>
      </c>
      <c r="Y39" s="55">
        <v>0</v>
      </c>
      <c r="Z39" s="55">
        <v>0</v>
      </c>
      <c r="AA39" s="55">
        <v>0</v>
      </c>
      <c r="AB39" s="53">
        <f>SUM(Sheet_1_Table_1_137[[#This Row],[Leadership LS]:[Career Development  CR]])</f>
        <v>0</v>
      </c>
      <c r="AC39" s="97"/>
      <c r="AD39" s="55"/>
      <c r="AE39" s="55" t="s">
        <v>142</v>
      </c>
      <c r="AF39" s="55" t="s">
        <v>142</v>
      </c>
      <c r="AG39" s="55" t="s">
        <v>142</v>
      </c>
      <c r="AH39" s="55"/>
      <c r="AI39" s="55"/>
      <c r="AJ39" s="62">
        <f>Sheet_1_Table_1_137[[#This Row],[ILP Units Per Session]]*Sheet_1_Table_1_137[[#This Row],[Quota]]</f>
        <v>0</v>
      </c>
      <c r="AK39" s="63"/>
      <c r="AL39" s="64">
        <f>WEEKDAY(Sheet_1_Table_1_137[[#This Row],[Lesson 1 
Date 
(DD-MMM-YYYY)]])</f>
        <v>7</v>
      </c>
      <c r="AM39" s="65"/>
      <c r="AN39" s="66"/>
      <c r="AO39" s="67"/>
      <c r="AP39" s="68"/>
      <c r="AQ39" s="64">
        <f>WEEKDAY(Sheet_1_Table_1_137[[#This Row],[Lesson 1 
Date 
(DD-MMM-YYYY)]])</f>
        <v>7</v>
      </c>
      <c r="AR39" s="65"/>
      <c r="AS39" s="66"/>
      <c r="AT39" s="126"/>
      <c r="AU39" s="63"/>
      <c r="AV39" s="64" t="e">
        <f>WEEKDAY([8]!Sheet_1_Table_1_13[[#This Row],[Lesson 3
Date 
(DD-MMM-YYYY)]])</f>
        <v>#REF!</v>
      </c>
      <c r="AW39" s="65"/>
      <c r="AX39" s="66"/>
      <c r="AY39" s="126"/>
      <c r="AZ39" s="98"/>
      <c r="BA39" s="64" t="e">
        <f>WEEKDAY([8]!Sheet_1_Table_1_13[[#This Row],[Lesson 4
Date 
(DD-MMM-YYYY)]])</f>
        <v>#REF!</v>
      </c>
      <c r="BB39" s="65"/>
      <c r="BC39" s="66"/>
      <c r="BD39" s="126"/>
      <c r="BE39" s="63"/>
      <c r="BF39" s="64" t="e">
        <f>WEEKDAY([8]!Sheet_1_Table_1_13[[#This Row],[Lesson 5
Date 
(DD-MMM-YYYY)]])</f>
        <v>#REF!</v>
      </c>
      <c r="BG39" s="65"/>
      <c r="BH39" s="66"/>
      <c r="BI39" s="126"/>
      <c r="BJ39" s="98"/>
      <c r="BK39" s="64" t="e">
        <f>WEEKDAY([8]!Sheet_1_Table_1_13[[#This Row],[Lesson 6
Date 
(DD-MMM-YYYY)]])</f>
        <v>#REF!</v>
      </c>
      <c r="BL39" s="65"/>
      <c r="BM39" s="66"/>
      <c r="BN39" s="99"/>
      <c r="BO39" s="54"/>
      <c r="BP39" s="69"/>
      <c r="BQ39" s="55"/>
      <c r="BR39" s="57"/>
      <c r="BS39" s="54"/>
      <c r="BT39" s="56"/>
      <c r="BU39" s="56"/>
      <c r="BV39" s="57"/>
      <c r="BW39" s="60"/>
      <c r="BX39" s="187"/>
      <c r="BY39" s="56"/>
      <c r="BZ39" s="56"/>
      <c r="CA39" s="56"/>
      <c r="CB39" s="72"/>
      <c r="CC39" s="72"/>
      <c r="CD39" s="72"/>
      <c r="CE39" s="60"/>
      <c r="CF39" s="72"/>
      <c r="CG39" s="56"/>
      <c r="CH39" s="57"/>
      <c r="CI39" s="52" t="s">
        <v>142</v>
      </c>
      <c r="CJ39" s="52" t="s">
        <v>142</v>
      </c>
      <c r="CK39" s="52" t="s">
        <v>142</v>
      </c>
      <c r="CL39" s="52" t="s">
        <v>142</v>
      </c>
      <c r="CM39" s="52" t="s">
        <v>142</v>
      </c>
      <c r="CN39" s="52" t="s">
        <v>142</v>
      </c>
      <c r="CO39" s="52" t="s">
        <v>142</v>
      </c>
      <c r="CP39" s="52" t="s">
        <v>142</v>
      </c>
      <c r="CQ39" s="52" t="s">
        <v>142</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N39" s="790"/>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39</v>
      </c>
      <c r="B40" s="49"/>
      <c r="C40" s="50"/>
      <c r="D40" s="50"/>
      <c r="E40" s="51"/>
      <c r="F40" s="52"/>
      <c r="G40" s="53"/>
      <c r="H40" s="97"/>
      <c r="I40" s="57"/>
      <c r="J40" s="60"/>
      <c r="K40" s="628"/>
      <c r="L40" s="331"/>
      <c r="M40" s="56" t="s">
        <v>424</v>
      </c>
      <c r="N40" s="57"/>
      <c r="O40" s="114"/>
      <c r="P40" s="96"/>
      <c r="Q40" s="60"/>
      <c r="R40" s="77" t="e">
        <f>VLOOKUP(Sheet_1_Table_1_137[[#This Row],[Learning Domain]],[7]List!$A$7:$B$12,2,0)</f>
        <v>#N/A</v>
      </c>
      <c r="S40" s="55">
        <v>0</v>
      </c>
      <c r="T40" s="55">
        <v>0</v>
      </c>
      <c r="U40" s="55">
        <v>0</v>
      </c>
      <c r="V40" s="55">
        <v>0</v>
      </c>
      <c r="W40" s="55">
        <v>0</v>
      </c>
      <c r="X40" s="55">
        <v>0</v>
      </c>
      <c r="Y40" s="55">
        <v>0</v>
      </c>
      <c r="Z40" s="55">
        <v>0</v>
      </c>
      <c r="AA40" s="55">
        <v>0</v>
      </c>
      <c r="AB40" s="53">
        <f>SUM(Sheet_1_Table_1_137[[#This Row],[Leadership LS]:[Career Development  CR]])</f>
        <v>0</v>
      </c>
      <c r="AC40" s="97"/>
      <c r="AD40" s="55"/>
      <c r="AE40" s="55" t="s">
        <v>142</v>
      </c>
      <c r="AF40" s="55" t="s">
        <v>142</v>
      </c>
      <c r="AG40" s="55" t="s">
        <v>142</v>
      </c>
      <c r="AH40" s="55"/>
      <c r="AI40" s="55"/>
      <c r="AJ40" s="62">
        <f>Sheet_1_Table_1_137[[#This Row],[ILP Units Per Session]]*Sheet_1_Table_1_137[[#This Row],[Quota]]</f>
        <v>0</v>
      </c>
      <c r="AK40" s="63"/>
      <c r="AL40" s="64">
        <f>WEEKDAY(Sheet_1_Table_1_137[[#This Row],[Lesson 1 
Date 
(DD-MMM-YYYY)]])</f>
        <v>7</v>
      </c>
      <c r="AM40" s="65"/>
      <c r="AN40" s="66"/>
      <c r="AO40" s="67"/>
      <c r="AP40" s="68"/>
      <c r="AQ40" s="64">
        <f>WEEKDAY(Sheet_1_Table_1_137[[#This Row],[Lesson 1 
Date 
(DD-MMM-YYYY)]])</f>
        <v>7</v>
      </c>
      <c r="AR40" s="65"/>
      <c r="AS40" s="66"/>
      <c r="AT40" s="126"/>
      <c r="AU40" s="63"/>
      <c r="AV40" s="64" t="e">
        <f>WEEKDAY([8]!Sheet_1_Table_1_13[[#This Row],[Lesson 3
Date 
(DD-MMM-YYYY)]])</f>
        <v>#REF!</v>
      </c>
      <c r="AW40" s="65"/>
      <c r="AX40" s="66"/>
      <c r="AY40" s="126"/>
      <c r="AZ40" s="98"/>
      <c r="BA40" s="64" t="e">
        <f>WEEKDAY([8]!Sheet_1_Table_1_13[[#This Row],[Lesson 4
Date 
(DD-MMM-YYYY)]])</f>
        <v>#REF!</v>
      </c>
      <c r="BB40" s="65"/>
      <c r="BC40" s="66"/>
      <c r="BD40" s="126"/>
      <c r="BE40" s="63"/>
      <c r="BF40" s="64" t="e">
        <f>WEEKDAY([8]!Sheet_1_Table_1_13[[#This Row],[Lesson 5
Date 
(DD-MMM-YYYY)]])</f>
        <v>#REF!</v>
      </c>
      <c r="BG40" s="65"/>
      <c r="BH40" s="66"/>
      <c r="BI40" s="126"/>
      <c r="BJ40" s="98"/>
      <c r="BK40" s="64" t="e">
        <f>WEEKDAY([8]!Sheet_1_Table_1_13[[#This Row],[Lesson 6
Date 
(DD-MMM-YYYY)]])</f>
        <v>#REF!</v>
      </c>
      <c r="BL40" s="65"/>
      <c r="BM40" s="66"/>
      <c r="BN40" s="99"/>
      <c r="BO40" s="54"/>
      <c r="BP40" s="69"/>
      <c r="BQ40" s="55"/>
      <c r="BR40" s="57"/>
      <c r="BS40" s="54"/>
      <c r="BT40" s="56"/>
      <c r="BU40" s="56"/>
      <c r="BV40" s="57"/>
      <c r="BW40" s="60"/>
      <c r="BX40" s="187"/>
      <c r="BY40" s="56"/>
      <c r="BZ40" s="56"/>
      <c r="CA40" s="56"/>
      <c r="CB40" s="72"/>
      <c r="CC40" s="72"/>
      <c r="CD40" s="72"/>
      <c r="CE40" s="60"/>
      <c r="CF40" s="72"/>
      <c r="CG40" s="56"/>
      <c r="CH40" s="57"/>
      <c r="CI40" s="52" t="s">
        <v>142</v>
      </c>
      <c r="CJ40" s="52" t="s">
        <v>142</v>
      </c>
      <c r="CK40" s="52" t="s">
        <v>142</v>
      </c>
      <c r="CL40" s="52" t="s">
        <v>142</v>
      </c>
      <c r="CM40" s="52" t="s">
        <v>142</v>
      </c>
      <c r="CN40" s="52" t="s">
        <v>142</v>
      </c>
      <c r="CO40" s="52" t="s">
        <v>142</v>
      </c>
      <c r="CP40" s="52" t="s">
        <v>142</v>
      </c>
      <c r="CQ40" s="52" t="s">
        <v>142</v>
      </c>
      <c r="CR40" s="52" t="s">
        <v>142</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N40" s="790"/>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40</v>
      </c>
      <c r="B41" s="49"/>
      <c r="C41" s="50"/>
      <c r="D41" s="50"/>
      <c r="E41" s="51"/>
      <c r="F41" s="52"/>
      <c r="G41" s="53"/>
      <c r="H41" s="97"/>
      <c r="I41" s="57"/>
      <c r="J41" s="60"/>
      <c r="K41" s="628"/>
      <c r="L41" s="331"/>
      <c r="M41" s="56" t="s">
        <v>424</v>
      </c>
      <c r="N41" s="57"/>
      <c r="O41" s="114"/>
      <c r="P41" s="96"/>
      <c r="Q41" s="60"/>
      <c r="R41" s="61" t="e">
        <f>VLOOKUP(Sheet_1_Table_1_137[[#This Row],[Learning Domain]],[7]List!$A$7:$B$12,2,0)</f>
        <v>#N/A</v>
      </c>
      <c r="S41" s="55">
        <v>0</v>
      </c>
      <c r="T41" s="55">
        <v>0</v>
      </c>
      <c r="U41" s="55">
        <v>0</v>
      </c>
      <c r="V41" s="55">
        <v>0</v>
      </c>
      <c r="W41" s="55">
        <v>0</v>
      </c>
      <c r="X41" s="55">
        <v>0</v>
      </c>
      <c r="Y41" s="55">
        <v>0</v>
      </c>
      <c r="Z41" s="55">
        <v>0</v>
      </c>
      <c r="AA41" s="55">
        <v>0</v>
      </c>
      <c r="AB41" s="53">
        <f>SUM(Sheet_1_Table_1_137[[#This Row],[Leadership LS]:[Career Development  CR]])</f>
        <v>0</v>
      </c>
      <c r="AC41" s="97"/>
      <c r="AD41" s="55"/>
      <c r="AE41" s="55" t="s">
        <v>142</v>
      </c>
      <c r="AF41" s="55" t="s">
        <v>142</v>
      </c>
      <c r="AG41" s="55" t="s">
        <v>142</v>
      </c>
      <c r="AH41" s="55"/>
      <c r="AI41" s="55"/>
      <c r="AJ41" s="62">
        <f>Sheet_1_Table_1_137[[#This Row],[ILP Units Per Session]]*Sheet_1_Table_1_137[[#This Row],[Quota]]</f>
        <v>0</v>
      </c>
      <c r="AK41" s="63"/>
      <c r="AL41" s="64">
        <f>WEEKDAY(Sheet_1_Table_1_137[[#This Row],[Lesson 1 
Date 
(DD-MMM-YYYY)]])</f>
        <v>7</v>
      </c>
      <c r="AM41" s="65"/>
      <c r="AN41" s="66"/>
      <c r="AO41" s="67"/>
      <c r="AP41" s="68"/>
      <c r="AQ41" s="64">
        <f>WEEKDAY(Sheet_1_Table_1_137[[#This Row],[Lesson 1 
Date 
(DD-MMM-YYYY)]])</f>
        <v>7</v>
      </c>
      <c r="AR41" s="65"/>
      <c r="AS41" s="66"/>
      <c r="AT41" s="126"/>
      <c r="AU41" s="63"/>
      <c r="AV41" s="64" t="e">
        <f>WEEKDAY([8]!Sheet_1_Table_1_13[[#This Row],[Lesson 3
Date 
(DD-MMM-YYYY)]])</f>
        <v>#REF!</v>
      </c>
      <c r="AW41" s="65"/>
      <c r="AX41" s="66"/>
      <c r="AY41" s="126"/>
      <c r="AZ41" s="98"/>
      <c r="BA41" s="64" t="e">
        <f>WEEKDAY([8]!Sheet_1_Table_1_13[[#This Row],[Lesson 4
Date 
(DD-MMM-YYYY)]])</f>
        <v>#REF!</v>
      </c>
      <c r="BB41" s="65"/>
      <c r="BC41" s="66"/>
      <c r="BD41" s="126"/>
      <c r="BE41" s="63"/>
      <c r="BF41" s="64" t="e">
        <f>WEEKDAY([8]!Sheet_1_Table_1_13[[#This Row],[Lesson 5
Date 
(DD-MMM-YYYY)]])</f>
        <v>#REF!</v>
      </c>
      <c r="BG41" s="65"/>
      <c r="BH41" s="66"/>
      <c r="BI41" s="126"/>
      <c r="BJ41" s="98"/>
      <c r="BK41" s="64" t="e">
        <f>WEEKDAY([8]!Sheet_1_Table_1_13[[#This Row],[Lesson 6
Date 
(DD-MMM-YYYY)]])</f>
        <v>#REF!</v>
      </c>
      <c r="BL41" s="65"/>
      <c r="BM41" s="66"/>
      <c r="BN41" s="99"/>
      <c r="BO41" s="54"/>
      <c r="BP41" s="69"/>
      <c r="BQ41" s="55"/>
      <c r="BR41" s="57"/>
      <c r="BS41" s="54"/>
      <c r="BT41" s="56"/>
      <c r="BU41" s="56"/>
      <c r="BV41" s="57"/>
      <c r="BW41" s="60"/>
      <c r="BX41" s="187"/>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N41" s="790"/>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41</v>
      </c>
      <c r="B42" s="49"/>
      <c r="C42" s="50"/>
      <c r="D42" s="50"/>
      <c r="E42" s="51"/>
      <c r="F42" s="54"/>
      <c r="G42" s="53"/>
      <c r="H42" s="97"/>
      <c r="I42" s="57"/>
      <c r="J42" s="60"/>
      <c r="K42" s="628"/>
      <c r="L42" s="331"/>
      <c r="M42" s="56" t="s">
        <v>424</v>
      </c>
      <c r="N42" s="57"/>
      <c r="O42" s="114"/>
      <c r="P42" s="96"/>
      <c r="Q42" s="60"/>
      <c r="R42" s="61" t="e">
        <f>VLOOKUP(Sheet_1_Table_1_137[[#This Row],[Learning Domain]],[7]List!$A$7:$B$12,2,0)</f>
        <v>#N/A</v>
      </c>
      <c r="S42" s="55">
        <v>0</v>
      </c>
      <c r="T42" s="55">
        <v>0</v>
      </c>
      <c r="U42" s="55">
        <v>0</v>
      </c>
      <c r="V42" s="55">
        <v>0</v>
      </c>
      <c r="W42" s="55">
        <v>0</v>
      </c>
      <c r="X42" s="55">
        <v>0</v>
      </c>
      <c r="Y42" s="55">
        <v>0</v>
      </c>
      <c r="Z42" s="55">
        <v>0</v>
      </c>
      <c r="AA42" s="55">
        <v>0</v>
      </c>
      <c r="AB42" s="53">
        <f>SUM(Sheet_1_Table_1_137[[#This Row],[Leadership LS]:[Career Development  CR]])</f>
        <v>0</v>
      </c>
      <c r="AC42" s="97"/>
      <c r="AD42" s="55"/>
      <c r="AE42" s="55" t="s">
        <v>142</v>
      </c>
      <c r="AF42" s="55" t="s">
        <v>142</v>
      </c>
      <c r="AG42" s="55" t="s">
        <v>142</v>
      </c>
      <c r="AH42" s="55"/>
      <c r="AI42" s="55"/>
      <c r="AJ42" s="62">
        <f>Sheet_1_Table_1_137[[#This Row],[ILP Units Per Session]]*Sheet_1_Table_1_137[[#This Row],[Quota]]</f>
        <v>0</v>
      </c>
      <c r="AK42" s="63"/>
      <c r="AL42" s="64">
        <f>WEEKDAY(Sheet_1_Table_1_137[[#This Row],[Lesson 1 
Date 
(DD-MMM-YYYY)]])</f>
        <v>7</v>
      </c>
      <c r="AM42" s="65"/>
      <c r="AN42" s="66"/>
      <c r="AO42" s="67"/>
      <c r="AP42" s="68"/>
      <c r="AQ42" s="64">
        <f>WEEKDAY(Sheet_1_Table_1_137[[#This Row],[Lesson 1 
Date 
(DD-MMM-YYYY)]])</f>
        <v>7</v>
      </c>
      <c r="AR42" s="65"/>
      <c r="AS42" s="66"/>
      <c r="AT42" s="126"/>
      <c r="AU42" s="63"/>
      <c r="AV42" s="64" t="e">
        <f>WEEKDAY([8]!Sheet_1_Table_1_13[[#This Row],[Lesson 3
Date 
(DD-MMM-YYYY)]])</f>
        <v>#REF!</v>
      </c>
      <c r="AW42" s="65"/>
      <c r="AX42" s="66"/>
      <c r="AY42" s="126"/>
      <c r="AZ42" s="98"/>
      <c r="BA42" s="64" t="e">
        <f>WEEKDAY([8]!Sheet_1_Table_1_13[[#This Row],[Lesson 4
Date 
(DD-MMM-YYYY)]])</f>
        <v>#REF!</v>
      </c>
      <c r="BB42" s="65"/>
      <c r="BC42" s="66"/>
      <c r="BD42" s="126"/>
      <c r="BE42" s="63"/>
      <c r="BF42" s="64" t="e">
        <f>WEEKDAY([8]!Sheet_1_Table_1_13[[#This Row],[Lesson 5
Date 
(DD-MMM-YYYY)]])</f>
        <v>#REF!</v>
      </c>
      <c r="BG42" s="65"/>
      <c r="BH42" s="66"/>
      <c r="BI42" s="126"/>
      <c r="BJ42" s="98"/>
      <c r="BK42" s="64" t="e">
        <f>WEEKDAY([8]!Sheet_1_Table_1_13[[#This Row],[Lesson 6
Date 
(DD-MMM-YYYY)]])</f>
        <v>#REF!</v>
      </c>
      <c r="BL42" s="65"/>
      <c r="BM42" s="66"/>
      <c r="BN42" s="99"/>
      <c r="BO42" s="54"/>
      <c r="BP42" s="69"/>
      <c r="BQ42" s="55"/>
      <c r="BR42" s="57"/>
      <c r="BS42" s="54"/>
      <c r="BT42" s="56"/>
      <c r="BU42" s="56"/>
      <c r="BV42" s="57"/>
      <c r="BW42" s="60"/>
      <c r="BX42" s="187"/>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N42" s="790"/>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42</v>
      </c>
      <c r="B43" s="49"/>
      <c r="C43" s="50"/>
      <c r="D43" s="50"/>
      <c r="E43" s="51"/>
      <c r="F43" s="54"/>
      <c r="G43" s="53"/>
      <c r="H43" s="97"/>
      <c r="I43" s="57"/>
      <c r="J43" s="60"/>
      <c r="K43" s="628"/>
      <c r="L43" s="331"/>
      <c r="M43" s="56" t="s">
        <v>424</v>
      </c>
      <c r="N43" s="57"/>
      <c r="O43" s="114"/>
      <c r="P43" s="96"/>
      <c r="Q43" s="60"/>
      <c r="R43" s="77" t="e">
        <f>VLOOKUP(Sheet_1_Table_1_137[[#This Row],[Learning Domain]],[7]List!$A$7:$B$12,2,0)</f>
        <v>#N/A</v>
      </c>
      <c r="S43" s="55">
        <v>0</v>
      </c>
      <c r="T43" s="55">
        <v>0</v>
      </c>
      <c r="U43" s="55">
        <v>0</v>
      </c>
      <c r="V43" s="55">
        <v>0</v>
      </c>
      <c r="W43" s="55">
        <v>0</v>
      </c>
      <c r="X43" s="55">
        <v>0</v>
      </c>
      <c r="Y43" s="55">
        <v>0</v>
      </c>
      <c r="Z43" s="55">
        <v>0</v>
      </c>
      <c r="AA43" s="55">
        <v>0</v>
      </c>
      <c r="AB43" s="53">
        <f>SUM(Sheet_1_Table_1_137[[#This Row],[Leadership LS]:[Career Development  CR]])</f>
        <v>0</v>
      </c>
      <c r="AC43" s="97"/>
      <c r="AD43" s="55"/>
      <c r="AE43" s="55" t="s">
        <v>142</v>
      </c>
      <c r="AF43" s="55" t="s">
        <v>142</v>
      </c>
      <c r="AG43" s="55" t="s">
        <v>142</v>
      </c>
      <c r="AH43" s="55"/>
      <c r="AI43" s="55"/>
      <c r="AJ43" s="62">
        <f>Sheet_1_Table_1_137[[#This Row],[ILP Units Per Session]]*Sheet_1_Table_1_137[[#This Row],[Quota]]</f>
        <v>0</v>
      </c>
      <c r="AK43" s="63"/>
      <c r="AL43" s="165">
        <f>WEEKDAY(Sheet_1_Table_1_137[[#This Row],[Lesson 1 
Date 
(DD-MMM-YYYY)]])</f>
        <v>7</v>
      </c>
      <c r="AM43" s="65"/>
      <c r="AN43" s="66"/>
      <c r="AO43" s="67"/>
      <c r="AP43" s="68"/>
      <c r="AQ43" s="64">
        <f>WEEKDAY(Sheet_1_Table_1_137[[#This Row],[Lesson 1 
Date 
(DD-MMM-YYYY)]])</f>
        <v>7</v>
      </c>
      <c r="AR43" s="65"/>
      <c r="AS43" s="66"/>
      <c r="AT43" s="126"/>
      <c r="AU43" s="63"/>
      <c r="AV43" s="64" t="e">
        <f>WEEKDAY([8]!Sheet_1_Table_1_13[[#This Row],[Lesson 3
Date 
(DD-MMM-YYYY)]])</f>
        <v>#REF!</v>
      </c>
      <c r="AW43" s="65"/>
      <c r="AX43" s="66"/>
      <c r="AY43" s="126"/>
      <c r="AZ43" s="98"/>
      <c r="BA43" s="64" t="e">
        <f>WEEKDAY([8]!Sheet_1_Table_1_13[[#This Row],[Lesson 4
Date 
(DD-MMM-YYYY)]])</f>
        <v>#REF!</v>
      </c>
      <c r="BB43" s="65"/>
      <c r="BC43" s="66"/>
      <c r="BD43" s="126"/>
      <c r="BE43" s="63"/>
      <c r="BF43" s="64" t="e">
        <f>WEEKDAY([8]!Sheet_1_Table_1_13[[#This Row],[Lesson 5
Date 
(DD-MMM-YYYY)]])</f>
        <v>#REF!</v>
      </c>
      <c r="BG43" s="65"/>
      <c r="BH43" s="66"/>
      <c r="BI43" s="126"/>
      <c r="BJ43" s="98"/>
      <c r="BK43" s="64" t="e">
        <f>WEEKDAY([8]!Sheet_1_Table_1_13[[#This Row],[Lesson 6
Date 
(DD-MMM-YYYY)]])</f>
        <v>#REF!</v>
      </c>
      <c r="BL43" s="65"/>
      <c r="BM43" s="66"/>
      <c r="BN43" s="99"/>
      <c r="BO43" s="54"/>
      <c r="BP43" s="69"/>
      <c r="BQ43" s="55"/>
      <c r="BR43" s="57"/>
      <c r="BS43" s="54"/>
      <c r="BT43" s="56"/>
      <c r="BU43" s="56"/>
      <c r="BV43" s="57"/>
      <c r="BW43" s="60"/>
      <c r="BX43" s="187"/>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N43" s="790"/>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43</v>
      </c>
      <c r="B44" s="49"/>
      <c r="C44" s="50"/>
      <c r="D44" s="50"/>
      <c r="E44" s="51"/>
      <c r="F44" s="54"/>
      <c r="G44" s="53"/>
      <c r="H44" s="97"/>
      <c r="I44" s="57"/>
      <c r="J44" s="60"/>
      <c r="K44" s="628"/>
      <c r="L44" s="331"/>
      <c r="M44" s="56" t="s">
        <v>424</v>
      </c>
      <c r="N44" s="57"/>
      <c r="O44" s="114"/>
      <c r="P44" s="96"/>
      <c r="Q44" s="60"/>
      <c r="R44" s="61" t="e">
        <f>VLOOKUP(Sheet_1_Table_1_137[[#This Row],[Learning Domain]],[7]List!$A$7:$B$12,2,0)</f>
        <v>#N/A</v>
      </c>
      <c r="S44" s="55">
        <v>0</v>
      </c>
      <c r="T44" s="55">
        <v>0</v>
      </c>
      <c r="U44" s="55">
        <v>0</v>
      </c>
      <c r="V44" s="55">
        <v>0</v>
      </c>
      <c r="W44" s="55">
        <v>0</v>
      </c>
      <c r="X44" s="55">
        <v>0</v>
      </c>
      <c r="Y44" s="55">
        <v>0</v>
      </c>
      <c r="Z44" s="55">
        <v>0</v>
      </c>
      <c r="AA44" s="55">
        <v>0</v>
      </c>
      <c r="AB44" s="53">
        <f>SUM(Sheet_1_Table_1_137[[#This Row],[Leadership LS]:[Career Development  CR]])</f>
        <v>0</v>
      </c>
      <c r="AC44" s="97"/>
      <c r="AD44" s="55"/>
      <c r="AE44" s="55" t="s">
        <v>142</v>
      </c>
      <c r="AF44" s="55" t="s">
        <v>142</v>
      </c>
      <c r="AG44" s="55" t="s">
        <v>142</v>
      </c>
      <c r="AH44" s="55"/>
      <c r="AI44" s="55"/>
      <c r="AJ44" s="62">
        <f>Sheet_1_Table_1_137[[#This Row],[ILP Units Per Session]]*Sheet_1_Table_1_137[[#This Row],[Quota]]</f>
        <v>0</v>
      </c>
      <c r="AK44" s="63"/>
      <c r="AL44" s="64">
        <f>WEEKDAY(Sheet_1_Table_1_137[[#This Row],[Lesson 1 
Date 
(DD-MMM-YYYY)]])</f>
        <v>7</v>
      </c>
      <c r="AM44" s="65"/>
      <c r="AN44" s="66"/>
      <c r="AO44" s="67"/>
      <c r="AP44" s="68"/>
      <c r="AQ44" s="64">
        <f>WEEKDAY(Sheet_1_Table_1_137[[#This Row],[Lesson 1 
Date 
(DD-MMM-YYYY)]])</f>
        <v>7</v>
      </c>
      <c r="AR44" s="65"/>
      <c r="AS44" s="66"/>
      <c r="AT44" s="126"/>
      <c r="AU44" s="63"/>
      <c r="AV44" s="64" t="e">
        <f>WEEKDAY([8]!Sheet_1_Table_1_13[[#This Row],[Lesson 3
Date 
(DD-MMM-YYYY)]])</f>
        <v>#REF!</v>
      </c>
      <c r="AW44" s="65"/>
      <c r="AX44" s="66"/>
      <c r="AY44" s="126"/>
      <c r="AZ44" s="98"/>
      <c r="BA44" s="64" t="e">
        <f>WEEKDAY([8]!Sheet_1_Table_1_13[[#This Row],[Lesson 4
Date 
(DD-MMM-YYYY)]])</f>
        <v>#REF!</v>
      </c>
      <c r="BB44" s="65"/>
      <c r="BC44" s="66"/>
      <c r="BD44" s="126"/>
      <c r="BE44" s="63"/>
      <c r="BF44" s="64" t="e">
        <f>WEEKDAY([8]!Sheet_1_Table_1_13[[#This Row],[Lesson 5
Date 
(DD-MMM-YYYY)]])</f>
        <v>#REF!</v>
      </c>
      <c r="BG44" s="65"/>
      <c r="BH44" s="66"/>
      <c r="BI44" s="126"/>
      <c r="BJ44" s="98"/>
      <c r="BK44" s="64" t="e">
        <f>WEEKDAY([8]!Sheet_1_Table_1_13[[#This Row],[Lesson 6
Date 
(DD-MMM-YYYY)]])</f>
        <v>#REF!</v>
      </c>
      <c r="BL44" s="65"/>
      <c r="BM44" s="66"/>
      <c r="BN44" s="99"/>
      <c r="BO44" s="54"/>
      <c r="BP44" s="69"/>
      <c r="BQ44" s="55"/>
      <c r="BR44" s="57"/>
      <c r="BS44" s="54"/>
      <c r="BT44" s="56"/>
      <c r="BU44" s="56"/>
      <c r="BV44" s="57"/>
      <c r="BW44" s="60"/>
      <c r="BX44" s="187"/>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N44" s="790"/>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44</v>
      </c>
      <c r="B45" s="49"/>
      <c r="C45" s="50"/>
      <c r="D45" s="50"/>
      <c r="E45" s="51"/>
      <c r="F45" s="54"/>
      <c r="G45" s="53"/>
      <c r="H45" s="97"/>
      <c r="I45" s="57"/>
      <c r="J45" s="60"/>
      <c r="K45" s="628"/>
      <c r="L45" s="331"/>
      <c r="M45" s="56" t="s">
        <v>424</v>
      </c>
      <c r="N45" s="57"/>
      <c r="O45" s="114"/>
      <c r="P45" s="96"/>
      <c r="Q45" s="60"/>
      <c r="R45" s="61" t="e">
        <f>VLOOKUP(Sheet_1_Table_1_137[[#This Row],[Learning Domain]],[7]List!$A$7:$B$12,2,0)</f>
        <v>#N/A</v>
      </c>
      <c r="S45" s="55">
        <v>0</v>
      </c>
      <c r="T45" s="55">
        <v>0</v>
      </c>
      <c r="U45" s="55">
        <v>0</v>
      </c>
      <c r="V45" s="55">
        <v>0</v>
      </c>
      <c r="W45" s="55">
        <v>0</v>
      </c>
      <c r="X45" s="55">
        <v>0</v>
      </c>
      <c r="Y45" s="55">
        <v>0</v>
      </c>
      <c r="Z45" s="55">
        <v>0</v>
      </c>
      <c r="AA45" s="55">
        <v>0</v>
      </c>
      <c r="AB45" s="53">
        <f>SUM(Sheet_1_Table_1_137[[#This Row],[Leadership LS]:[Career Development  CR]])</f>
        <v>0</v>
      </c>
      <c r="AC45" s="97"/>
      <c r="AD45" s="55"/>
      <c r="AE45" s="55" t="s">
        <v>142</v>
      </c>
      <c r="AF45" s="55" t="s">
        <v>142</v>
      </c>
      <c r="AG45" s="55" t="s">
        <v>142</v>
      </c>
      <c r="AH45" s="55"/>
      <c r="AI45" s="55"/>
      <c r="AJ45" s="62">
        <f>Sheet_1_Table_1_137[[#This Row],[ILP Units Per Session]]*Sheet_1_Table_1_137[[#This Row],[Quota]]</f>
        <v>0</v>
      </c>
      <c r="AK45" s="63"/>
      <c r="AL45" s="165">
        <f>WEEKDAY(Sheet_1_Table_1_137[[#This Row],[Lesson 1 
Date 
(DD-MMM-YYYY)]])</f>
        <v>7</v>
      </c>
      <c r="AM45" s="65"/>
      <c r="AN45" s="66"/>
      <c r="AO45" s="67"/>
      <c r="AP45" s="68"/>
      <c r="AQ45" s="64">
        <f>WEEKDAY(Sheet_1_Table_1_137[[#This Row],[Lesson 1 
Date 
(DD-MMM-YYYY)]])</f>
        <v>7</v>
      </c>
      <c r="AR45" s="65"/>
      <c r="AS45" s="66"/>
      <c r="AT45" s="126"/>
      <c r="AU45" s="63"/>
      <c r="AV45" s="64" t="e">
        <f>WEEKDAY([8]!Sheet_1_Table_1_13[[#This Row],[Lesson 3
Date 
(DD-MMM-YYYY)]])</f>
        <v>#REF!</v>
      </c>
      <c r="AW45" s="65"/>
      <c r="AX45" s="66"/>
      <c r="AY45" s="126"/>
      <c r="AZ45" s="98"/>
      <c r="BA45" s="64" t="e">
        <f>WEEKDAY([8]!Sheet_1_Table_1_13[[#This Row],[Lesson 4
Date 
(DD-MMM-YYYY)]])</f>
        <v>#REF!</v>
      </c>
      <c r="BB45" s="65"/>
      <c r="BC45" s="66"/>
      <c r="BD45" s="126"/>
      <c r="BE45" s="63"/>
      <c r="BF45" s="64" t="e">
        <f>WEEKDAY([8]!Sheet_1_Table_1_13[[#This Row],[Lesson 5
Date 
(DD-MMM-YYYY)]])</f>
        <v>#REF!</v>
      </c>
      <c r="BG45" s="65"/>
      <c r="BH45" s="66"/>
      <c r="BI45" s="126"/>
      <c r="BJ45" s="98"/>
      <c r="BK45" s="64" t="e">
        <f>WEEKDAY([8]!Sheet_1_Table_1_13[[#This Row],[Lesson 6
Date 
(DD-MMM-YYYY)]])</f>
        <v>#REF!</v>
      </c>
      <c r="BL45" s="65"/>
      <c r="BM45" s="66"/>
      <c r="BN45" s="99"/>
      <c r="BO45" s="54"/>
      <c r="BP45" s="69"/>
      <c r="BQ45" s="55"/>
      <c r="BR45" s="57"/>
      <c r="BS45" s="54"/>
      <c r="BT45" s="56"/>
      <c r="BU45" s="56"/>
      <c r="BV45" s="57"/>
      <c r="BW45" s="60"/>
      <c r="BX45" s="187"/>
      <c r="BY45" s="56"/>
      <c r="BZ45" s="56"/>
      <c r="CA45" s="56"/>
      <c r="CB45" s="72"/>
      <c r="CC45" s="72"/>
      <c r="CD45" s="72"/>
      <c r="CE45" s="60"/>
      <c r="CF45" s="72"/>
      <c r="CG45" s="56"/>
      <c r="CH45" s="57"/>
      <c r="CI45" s="52" t="s">
        <v>142</v>
      </c>
      <c r="CJ45" s="52" t="s">
        <v>142</v>
      </c>
      <c r="CK45" s="52" t="s">
        <v>142</v>
      </c>
      <c r="CL45" s="52" t="s">
        <v>142</v>
      </c>
      <c r="CM45" s="52" t="s">
        <v>142</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N45" s="790"/>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45</v>
      </c>
      <c r="B46" s="49"/>
      <c r="C46" s="50"/>
      <c r="D46" s="50"/>
      <c r="E46" s="51"/>
      <c r="F46" s="54"/>
      <c r="G46" s="53"/>
      <c r="H46" s="97"/>
      <c r="I46" s="57"/>
      <c r="J46" s="60"/>
      <c r="K46" s="628"/>
      <c r="L46" s="331"/>
      <c r="M46" s="56" t="s">
        <v>424</v>
      </c>
      <c r="N46" s="57"/>
      <c r="O46" s="114"/>
      <c r="P46" s="96"/>
      <c r="Q46" s="60"/>
      <c r="R46" s="77" t="e">
        <f>VLOOKUP(Sheet_1_Table_1_137[[#This Row],[Learning Domain]],[7]List!$A$7:$B$12,2,0)</f>
        <v>#N/A</v>
      </c>
      <c r="S46" s="55">
        <v>0</v>
      </c>
      <c r="T46" s="55">
        <v>0</v>
      </c>
      <c r="U46" s="55">
        <v>0</v>
      </c>
      <c r="V46" s="55">
        <v>0</v>
      </c>
      <c r="W46" s="55">
        <v>0</v>
      </c>
      <c r="X46" s="55">
        <v>0</v>
      </c>
      <c r="Y46" s="55">
        <v>0</v>
      </c>
      <c r="Z46" s="55">
        <v>0</v>
      </c>
      <c r="AA46" s="55">
        <v>0</v>
      </c>
      <c r="AB46" s="53">
        <f>SUM(Sheet_1_Table_1_137[[#This Row],[Leadership LS]:[Career Development  CR]])</f>
        <v>0</v>
      </c>
      <c r="AC46" s="97"/>
      <c r="AD46" s="55"/>
      <c r="AE46" s="55" t="s">
        <v>142</v>
      </c>
      <c r="AF46" s="55" t="s">
        <v>142</v>
      </c>
      <c r="AG46" s="55" t="s">
        <v>142</v>
      </c>
      <c r="AH46" s="55"/>
      <c r="AI46" s="55"/>
      <c r="AJ46" s="62">
        <f>Sheet_1_Table_1_137[[#This Row],[ILP Units Per Session]]*Sheet_1_Table_1_137[[#This Row],[Quota]]</f>
        <v>0</v>
      </c>
      <c r="AK46" s="63"/>
      <c r="AL46" s="64">
        <f>WEEKDAY(Sheet_1_Table_1_137[[#This Row],[Lesson 1 
Date 
(DD-MMM-YYYY)]])</f>
        <v>7</v>
      </c>
      <c r="AM46" s="65"/>
      <c r="AN46" s="66"/>
      <c r="AO46" s="67"/>
      <c r="AP46" s="68"/>
      <c r="AQ46" s="64">
        <f>WEEKDAY(Sheet_1_Table_1_137[[#This Row],[Lesson 1 
Date 
(DD-MMM-YYYY)]])</f>
        <v>7</v>
      </c>
      <c r="AR46" s="65"/>
      <c r="AS46" s="66"/>
      <c r="AT46" s="126"/>
      <c r="AU46" s="63"/>
      <c r="AV46" s="64" t="e">
        <f>WEEKDAY([8]!Sheet_1_Table_1_13[[#This Row],[Lesson 3
Date 
(DD-MMM-YYYY)]])</f>
        <v>#REF!</v>
      </c>
      <c r="AW46" s="65"/>
      <c r="AX46" s="66"/>
      <c r="AY46" s="126"/>
      <c r="AZ46" s="98"/>
      <c r="BA46" s="64" t="e">
        <f>WEEKDAY([8]!Sheet_1_Table_1_13[[#This Row],[Lesson 4
Date 
(DD-MMM-YYYY)]])</f>
        <v>#REF!</v>
      </c>
      <c r="BB46" s="65"/>
      <c r="BC46" s="66"/>
      <c r="BD46" s="126"/>
      <c r="BE46" s="63"/>
      <c r="BF46" s="64" t="e">
        <f>WEEKDAY([8]!Sheet_1_Table_1_13[[#This Row],[Lesson 5
Date 
(DD-MMM-YYYY)]])</f>
        <v>#REF!</v>
      </c>
      <c r="BG46" s="65"/>
      <c r="BH46" s="66"/>
      <c r="BI46" s="126"/>
      <c r="BJ46" s="98"/>
      <c r="BK46" s="64" t="e">
        <f>WEEKDAY([8]!Sheet_1_Table_1_13[[#This Row],[Lesson 6
Date 
(DD-MMM-YYYY)]])</f>
        <v>#REF!</v>
      </c>
      <c r="BL46" s="65"/>
      <c r="BM46" s="66"/>
      <c r="BN46" s="99"/>
      <c r="BO46" s="54"/>
      <c r="BP46" s="69"/>
      <c r="BQ46" s="55"/>
      <c r="BR46" s="57"/>
      <c r="BS46" s="54"/>
      <c r="BT46" s="56"/>
      <c r="BU46" s="56"/>
      <c r="BV46" s="57"/>
      <c r="BW46" s="60"/>
      <c r="BX46" s="187"/>
      <c r="BY46" s="56"/>
      <c r="BZ46" s="56"/>
      <c r="CA46" s="56"/>
      <c r="CB46" s="72"/>
      <c r="CC46" s="72"/>
      <c r="CD46" s="72"/>
      <c r="CE46" s="60"/>
      <c r="CF46" s="72"/>
      <c r="CG46" s="56"/>
      <c r="CH46" s="57"/>
      <c r="CI46" s="52" t="s">
        <v>142</v>
      </c>
      <c r="CJ46" s="52" t="s">
        <v>142</v>
      </c>
      <c r="CK46" s="52" t="s">
        <v>142</v>
      </c>
      <c r="CL46" s="52" t="s">
        <v>142</v>
      </c>
      <c r="CM46" s="52" t="s">
        <v>142</v>
      </c>
      <c r="CN46" s="52" t="s">
        <v>142</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N46" s="790"/>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80.099999999999994" customHeight="1">
      <c r="A47" s="48">
        <v>46</v>
      </c>
      <c r="B47" s="49"/>
      <c r="C47" s="50"/>
      <c r="D47" s="50"/>
      <c r="E47" s="51"/>
      <c r="F47" s="54"/>
      <c r="G47" s="53"/>
      <c r="H47" s="97"/>
      <c r="I47" s="57"/>
      <c r="J47" s="60"/>
      <c r="K47" s="628"/>
      <c r="L47" s="331"/>
      <c r="M47" s="56" t="s">
        <v>424</v>
      </c>
      <c r="N47" s="57"/>
      <c r="O47" s="114"/>
      <c r="P47" s="96"/>
      <c r="Q47" s="60"/>
      <c r="R47" s="61" t="e">
        <f>VLOOKUP(Sheet_1_Table_1_137[[#This Row],[Learning Domain]],[7]List!$A$7:$B$12,2,0)</f>
        <v>#N/A</v>
      </c>
      <c r="S47" s="55">
        <v>0</v>
      </c>
      <c r="T47" s="55">
        <v>0</v>
      </c>
      <c r="U47" s="55">
        <v>0</v>
      </c>
      <c r="V47" s="55">
        <v>0</v>
      </c>
      <c r="W47" s="55">
        <v>0</v>
      </c>
      <c r="X47" s="55">
        <v>0</v>
      </c>
      <c r="Y47" s="55">
        <v>0</v>
      </c>
      <c r="Z47" s="55">
        <v>0</v>
      </c>
      <c r="AA47" s="55">
        <v>0</v>
      </c>
      <c r="AB47" s="53">
        <f>SUM(Sheet_1_Table_1_137[[#This Row],[Leadership LS]:[Career Development  CR]])</f>
        <v>0</v>
      </c>
      <c r="AC47" s="97"/>
      <c r="AD47" s="55"/>
      <c r="AE47" s="55" t="s">
        <v>142</v>
      </c>
      <c r="AF47" s="55" t="s">
        <v>142</v>
      </c>
      <c r="AG47" s="55" t="s">
        <v>142</v>
      </c>
      <c r="AH47" s="55"/>
      <c r="AI47" s="55"/>
      <c r="AJ47" s="62">
        <f>Sheet_1_Table_1_137[[#This Row],[ILP Units Per Session]]*Sheet_1_Table_1_137[[#This Row],[Quota]]</f>
        <v>0</v>
      </c>
      <c r="AK47" s="63"/>
      <c r="AL47" s="165">
        <f>WEEKDAY(Sheet_1_Table_1_137[[#This Row],[Lesson 1 
Date 
(DD-MMM-YYYY)]])</f>
        <v>7</v>
      </c>
      <c r="AM47" s="65"/>
      <c r="AN47" s="66"/>
      <c r="AO47" s="67"/>
      <c r="AP47" s="68"/>
      <c r="AQ47" s="64">
        <f>WEEKDAY(Sheet_1_Table_1_137[[#This Row],[Lesson 1 
Date 
(DD-MMM-YYYY)]])</f>
        <v>7</v>
      </c>
      <c r="AR47" s="65"/>
      <c r="AS47" s="66"/>
      <c r="AT47" s="126"/>
      <c r="AU47" s="63"/>
      <c r="AV47" s="64" t="e">
        <f>WEEKDAY([8]!Sheet_1_Table_1_13[[#This Row],[Lesson 3
Date 
(DD-MMM-YYYY)]])</f>
        <v>#REF!</v>
      </c>
      <c r="AW47" s="65"/>
      <c r="AX47" s="66"/>
      <c r="AY47" s="126"/>
      <c r="AZ47" s="98"/>
      <c r="BA47" s="64" t="e">
        <f>WEEKDAY([8]!Sheet_1_Table_1_13[[#This Row],[Lesson 4
Date 
(DD-MMM-YYYY)]])</f>
        <v>#REF!</v>
      </c>
      <c r="BB47" s="65"/>
      <c r="BC47" s="66"/>
      <c r="BD47" s="126"/>
      <c r="BE47" s="63"/>
      <c r="BF47" s="64" t="e">
        <f>WEEKDAY([8]!Sheet_1_Table_1_13[[#This Row],[Lesson 5
Date 
(DD-MMM-YYYY)]])</f>
        <v>#REF!</v>
      </c>
      <c r="BG47" s="65"/>
      <c r="BH47" s="66"/>
      <c r="BI47" s="126"/>
      <c r="BJ47" s="98"/>
      <c r="BK47" s="64" t="e">
        <f>WEEKDAY([8]!Sheet_1_Table_1_13[[#This Row],[Lesson 6
Date 
(DD-MMM-YYYY)]])</f>
        <v>#REF!</v>
      </c>
      <c r="BL47" s="65"/>
      <c r="BM47" s="66"/>
      <c r="BN47" s="99"/>
      <c r="BO47" s="54"/>
      <c r="BP47" s="69"/>
      <c r="BQ47" s="55"/>
      <c r="BR47" s="57"/>
      <c r="BS47" s="54"/>
      <c r="BT47" s="56"/>
      <c r="BU47" s="56"/>
      <c r="BV47" s="57"/>
      <c r="BW47" s="60"/>
      <c r="BX47" s="187"/>
      <c r="BY47" s="56"/>
      <c r="BZ47" s="56"/>
      <c r="CA47" s="56"/>
      <c r="CB47" s="72"/>
      <c r="CC47" s="72"/>
      <c r="CD47" s="72"/>
      <c r="CE47" s="60"/>
      <c r="CF47" s="72"/>
      <c r="CG47" s="56"/>
      <c r="CH47" s="57"/>
      <c r="CI47" s="52" t="s">
        <v>142</v>
      </c>
      <c r="CJ47" s="52" t="s">
        <v>142</v>
      </c>
      <c r="CK47" s="52" t="s">
        <v>142</v>
      </c>
      <c r="CL47" s="52" t="s">
        <v>142</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N47" s="790"/>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80.099999999999994" customHeight="1">
      <c r="A48" s="48">
        <v>47</v>
      </c>
      <c r="B48" s="49"/>
      <c r="C48" s="50"/>
      <c r="D48" s="50"/>
      <c r="E48" s="51"/>
      <c r="F48" s="54"/>
      <c r="G48" s="53"/>
      <c r="H48" s="97"/>
      <c r="I48" s="57"/>
      <c r="J48" s="60"/>
      <c r="K48" s="628"/>
      <c r="L48" s="331"/>
      <c r="M48" s="56" t="s">
        <v>424</v>
      </c>
      <c r="N48" s="57"/>
      <c r="O48" s="114"/>
      <c r="P48" s="96"/>
      <c r="Q48" s="60"/>
      <c r="R48" s="61" t="e">
        <f>VLOOKUP(Sheet_1_Table_1_137[[#This Row],[Learning Domain]],[7]List!$A$7:$B$12,2,0)</f>
        <v>#N/A</v>
      </c>
      <c r="S48" s="55">
        <v>0</v>
      </c>
      <c r="T48" s="55">
        <v>0</v>
      </c>
      <c r="U48" s="55">
        <v>0</v>
      </c>
      <c r="V48" s="55">
        <v>0</v>
      </c>
      <c r="W48" s="55">
        <v>0</v>
      </c>
      <c r="X48" s="55">
        <v>0</v>
      </c>
      <c r="Y48" s="55">
        <v>0</v>
      </c>
      <c r="Z48" s="55">
        <v>0</v>
      </c>
      <c r="AA48" s="55">
        <v>0</v>
      </c>
      <c r="AB48" s="53">
        <f>SUM(Sheet_1_Table_1_137[[#This Row],[Leadership LS]:[Career Development  CR]])</f>
        <v>0</v>
      </c>
      <c r="AC48" s="97"/>
      <c r="AD48" s="55"/>
      <c r="AE48" s="55" t="s">
        <v>142</v>
      </c>
      <c r="AF48" s="55" t="s">
        <v>142</v>
      </c>
      <c r="AG48" s="55" t="s">
        <v>142</v>
      </c>
      <c r="AH48" s="55"/>
      <c r="AI48" s="55"/>
      <c r="AJ48" s="62">
        <f>Sheet_1_Table_1_137[[#This Row],[ILP Units Per Session]]*Sheet_1_Table_1_137[[#This Row],[Quota]]</f>
        <v>0</v>
      </c>
      <c r="AK48" s="63"/>
      <c r="AL48" s="64">
        <f>WEEKDAY(Sheet_1_Table_1_137[[#This Row],[Lesson 1 
Date 
(DD-MMM-YYYY)]])</f>
        <v>7</v>
      </c>
      <c r="AM48" s="65"/>
      <c r="AN48" s="66"/>
      <c r="AO48" s="67"/>
      <c r="AP48" s="68"/>
      <c r="AQ48" s="64">
        <f>WEEKDAY(Sheet_1_Table_1_137[[#This Row],[Lesson 1 
Date 
(DD-MMM-YYYY)]])</f>
        <v>7</v>
      </c>
      <c r="AR48" s="65"/>
      <c r="AS48" s="66"/>
      <c r="AT48" s="126"/>
      <c r="AU48" s="63"/>
      <c r="AV48" s="64" t="e">
        <f>WEEKDAY([8]!Sheet_1_Table_1_13[[#This Row],[Lesson 3
Date 
(DD-MMM-YYYY)]])</f>
        <v>#REF!</v>
      </c>
      <c r="AW48" s="65"/>
      <c r="AX48" s="66"/>
      <c r="AY48" s="126"/>
      <c r="AZ48" s="98"/>
      <c r="BA48" s="64" t="e">
        <f>WEEKDAY([8]!Sheet_1_Table_1_13[[#This Row],[Lesson 4
Date 
(DD-MMM-YYYY)]])</f>
        <v>#REF!</v>
      </c>
      <c r="BB48" s="65"/>
      <c r="BC48" s="66"/>
      <c r="BD48" s="126"/>
      <c r="BE48" s="63"/>
      <c r="BF48" s="64" t="e">
        <f>WEEKDAY([8]!Sheet_1_Table_1_13[[#This Row],[Lesson 5
Date 
(DD-MMM-YYYY)]])</f>
        <v>#REF!</v>
      </c>
      <c r="BG48" s="65"/>
      <c r="BH48" s="66"/>
      <c r="BI48" s="126"/>
      <c r="BJ48" s="98"/>
      <c r="BK48" s="64" t="e">
        <f>WEEKDAY([8]!Sheet_1_Table_1_13[[#This Row],[Lesson 6
Date 
(DD-MMM-YYYY)]])</f>
        <v>#REF!</v>
      </c>
      <c r="BL48" s="65"/>
      <c r="BM48" s="66"/>
      <c r="BN48" s="99"/>
      <c r="BO48" s="54"/>
      <c r="BP48" s="69"/>
      <c r="BQ48" s="55"/>
      <c r="BR48" s="57"/>
      <c r="BS48" s="54"/>
      <c r="BT48" s="56"/>
      <c r="BU48" s="56"/>
      <c r="BV48" s="57"/>
      <c r="BW48" s="60"/>
      <c r="BX48" s="187"/>
      <c r="BY48" s="56"/>
      <c r="BZ48" s="56"/>
      <c r="CA48" s="56"/>
      <c r="CB48" s="72"/>
      <c r="CC48" s="72"/>
      <c r="CD48" s="72"/>
      <c r="CE48" s="60"/>
      <c r="CF48" s="72"/>
      <c r="CG48" s="56"/>
      <c r="CH48" s="57"/>
      <c r="CI48" s="52" t="s">
        <v>142</v>
      </c>
      <c r="CJ48" s="52" t="s">
        <v>142</v>
      </c>
      <c r="CK48" s="52" t="s">
        <v>142</v>
      </c>
      <c r="CL48" s="52" t="s">
        <v>142</v>
      </c>
      <c r="CM48" s="52" t="s">
        <v>142</v>
      </c>
      <c r="CN48" s="52" t="s">
        <v>142</v>
      </c>
      <c r="CO48" s="52" t="s">
        <v>142</v>
      </c>
      <c r="CP48" s="52" t="s">
        <v>142</v>
      </c>
      <c r="CQ48" s="52" t="s">
        <v>142</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N48" s="790"/>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80.099999999999994" customHeight="1">
      <c r="A49" s="48">
        <v>48</v>
      </c>
      <c r="B49" s="49"/>
      <c r="C49" s="50"/>
      <c r="D49" s="50"/>
      <c r="E49" s="51"/>
      <c r="F49" s="54"/>
      <c r="G49" s="53"/>
      <c r="H49" s="97"/>
      <c r="I49" s="57"/>
      <c r="J49" s="60"/>
      <c r="K49" s="628"/>
      <c r="L49" s="331"/>
      <c r="M49" s="56" t="s">
        <v>424</v>
      </c>
      <c r="N49" s="57"/>
      <c r="O49" s="114"/>
      <c r="P49" s="96"/>
      <c r="Q49" s="60"/>
      <c r="R49" s="77" t="e">
        <f>VLOOKUP(Sheet_1_Table_1_137[[#This Row],[Learning Domain]],[7]List!$A$7:$B$12,2,0)</f>
        <v>#N/A</v>
      </c>
      <c r="S49" s="55">
        <v>0</v>
      </c>
      <c r="T49" s="55">
        <v>0</v>
      </c>
      <c r="U49" s="55">
        <v>0</v>
      </c>
      <c r="V49" s="55">
        <v>0</v>
      </c>
      <c r="W49" s="55">
        <v>0</v>
      </c>
      <c r="X49" s="55">
        <v>0</v>
      </c>
      <c r="Y49" s="55">
        <v>0</v>
      </c>
      <c r="Z49" s="55">
        <v>0</v>
      </c>
      <c r="AA49" s="55">
        <v>0</v>
      </c>
      <c r="AB49" s="53">
        <f>SUM(Sheet_1_Table_1_137[[#This Row],[Leadership LS]:[Career Development  CR]])</f>
        <v>0</v>
      </c>
      <c r="AC49" s="97"/>
      <c r="AD49" s="55"/>
      <c r="AE49" s="55" t="s">
        <v>142</v>
      </c>
      <c r="AF49" s="55" t="s">
        <v>142</v>
      </c>
      <c r="AG49" s="55" t="s">
        <v>142</v>
      </c>
      <c r="AH49" s="55"/>
      <c r="AI49" s="55"/>
      <c r="AJ49" s="62">
        <f>Sheet_1_Table_1_137[[#This Row],[ILP Units Per Session]]*Sheet_1_Table_1_137[[#This Row],[Quota]]</f>
        <v>0</v>
      </c>
      <c r="AK49" s="63"/>
      <c r="AL49" s="64">
        <f>WEEKDAY(Sheet_1_Table_1_137[[#This Row],[Lesson 1 
Date 
(DD-MMM-YYYY)]])</f>
        <v>7</v>
      </c>
      <c r="AM49" s="65"/>
      <c r="AN49" s="66"/>
      <c r="AO49" s="67"/>
      <c r="AP49" s="68"/>
      <c r="AQ49" s="64">
        <f>WEEKDAY(Sheet_1_Table_1_137[[#This Row],[Lesson 1 
Date 
(DD-MMM-YYYY)]])</f>
        <v>7</v>
      </c>
      <c r="AR49" s="65"/>
      <c r="AS49" s="66"/>
      <c r="AT49" s="126"/>
      <c r="AU49" s="63"/>
      <c r="AV49" s="64" t="e">
        <f>WEEKDAY([8]!Sheet_1_Table_1_13[[#This Row],[Lesson 3
Date 
(DD-MMM-YYYY)]])</f>
        <v>#REF!</v>
      </c>
      <c r="AW49" s="65"/>
      <c r="AX49" s="66"/>
      <c r="AY49" s="126"/>
      <c r="AZ49" s="98"/>
      <c r="BA49" s="64" t="e">
        <f>WEEKDAY([8]!Sheet_1_Table_1_13[[#This Row],[Lesson 4
Date 
(DD-MMM-YYYY)]])</f>
        <v>#REF!</v>
      </c>
      <c r="BB49" s="65"/>
      <c r="BC49" s="66"/>
      <c r="BD49" s="126"/>
      <c r="BE49" s="63"/>
      <c r="BF49" s="64" t="e">
        <f>WEEKDAY([8]!Sheet_1_Table_1_13[[#This Row],[Lesson 5
Date 
(DD-MMM-YYYY)]])</f>
        <v>#REF!</v>
      </c>
      <c r="BG49" s="65"/>
      <c r="BH49" s="66"/>
      <c r="BI49" s="126"/>
      <c r="BJ49" s="98"/>
      <c r="BK49" s="64" t="e">
        <f>WEEKDAY([8]!Sheet_1_Table_1_13[[#This Row],[Lesson 6
Date 
(DD-MMM-YYYY)]])</f>
        <v>#REF!</v>
      </c>
      <c r="BL49" s="65"/>
      <c r="BM49" s="66"/>
      <c r="BN49" s="99"/>
      <c r="BO49" s="54"/>
      <c r="BP49" s="69"/>
      <c r="BQ49" s="55"/>
      <c r="BR49" s="57"/>
      <c r="BS49" s="54"/>
      <c r="BT49" s="56"/>
      <c r="BU49" s="56"/>
      <c r="BV49" s="57"/>
      <c r="BW49" s="60"/>
      <c r="BX49" s="187"/>
      <c r="BY49" s="56"/>
      <c r="BZ49" s="56"/>
      <c r="CA49" s="56"/>
      <c r="CB49" s="72"/>
      <c r="CC49" s="72"/>
      <c r="CD49" s="72"/>
      <c r="CE49" s="60"/>
      <c r="CF49" s="72"/>
      <c r="CG49" s="56"/>
      <c r="CH49" s="57"/>
      <c r="CI49" s="52" t="s">
        <v>142</v>
      </c>
      <c r="CJ49" s="52" t="s">
        <v>142</v>
      </c>
      <c r="CK49" s="52" t="s">
        <v>142</v>
      </c>
      <c r="CL49" s="52" t="s">
        <v>142</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N49" s="790"/>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80.099999999999994" customHeight="1">
      <c r="A50" s="48">
        <v>49</v>
      </c>
      <c r="B50" s="49"/>
      <c r="C50" s="50"/>
      <c r="D50" s="50"/>
      <c r="E50" s="51"/>
      <c r="F50" s="54"/>
      <c r="G50" s="53"/>
      <c r="H50" s="97"/>
      <c r="I50" s="57"/>
      <c r="J50" s="60"/>
      <c r="K50" s="628"/>
      <c r="L50" s="331"/>
      <c r="M50" s="56" t="s">
        <v>424</v>
      </c>
      <c r="N50" s="57"/>
      <c r="O50" s="114"/>
      <c r="P50" s="96"/>
      <c r="Q50" s="60"/>
      <c r="R50" s="61" t="e">
        <f>VLOOKUP(Sheet_1_Table_1_137[[#This Row],[Learning Domain]],[7]List!$A$7:$B$12,2,0)</f>
        <v>#N/A</v>
      </c>
      <c r="S50" s="55">
        <v>0</v>
      </c>
      <c r="T50" s="55">
        <v>0</v>
      </c>
      <c r="U50" s="55">
        <v>0</v>
      </c>
      <c r="V50" s="55">
        <v>0</v>
      </c>
      <c r="W50" s="55">
        <v>0</v>
      </c>
      <c r="X50" s="55">
        <v>0</v>
      </c>
      <c r="Y50" s="55">
        <v>0</v>
      </c>
      <c r="Z50" s="55">
        <v>0</v>
      </c>
      <c r="AA50" s="55">
        <v>0</v>
      </c>
      <c r="AB50" s="53">
        <f>SUM(Sheet_1_Table_1_137[[#This Row],[Leadership LS]:[Career Development  CR]])</f>
        <v>0</v>
      </c>
      <c r="AC50" s="97"/>
      <c r="AD50" s="55"/>
      <c r="AE50" s="55" t="s">
        <v>142</v>
      </c>
      <c r="AF50" s="55" t="s">
        <v>142</v>
      </c>
      <c r="AG50" s="55" t="s">
        <v>142</v>
      </c>
      <c r="AH50" s="55"/>
      <c r="AI50" s="55"/>
      <c r="AJ50" s="62">
        <f>Sheet_1_Table_1_137[[#This Row],[ILP Units Per Session]]*Sheet_1_Table_1_137[[#This Row],[Quota]]</f>
        <v>0</v>
      </c>
      <c r="AK50" s="63"/>
      <c r="AL50" s="64">
        <f>WEEKDAY(Sheet_1_Table_1_137[[#This Row],[Lesson 1 
Date 
(DD-MMM-YYYY)]])</f>
        <v>7</v>
      </c>
      <c r="AM50" s="65"/>
      <c r="AN50" s="66"/>
      <c r="AO50" s="67"/>
      <c r="AP50" s="68"/>
      <c r="AQ50" s="64">
        <f>WEEKDAY(Sheet_1_Table_1_137[[#This Row],[Lesson 1 
Date 
(DD-MMM-YYYY)]])</f>
        <v>7</v>
      </c>
      <c r="AR50" s="65"/>
      <c r="AS50" s="66"/>
      <c r="AT50" s="126"/>
      <c r="AU50" s="63"/>
      <c r="AV50" s="64" t="e">
        <f>WEEKDAY([8]!Sheet_1_Table_1_13[[#This Row],[Lesson 3
Date 
(DD-MMM-YYYY)]])</f>
        <v>#REF!</v>
      </c>
      <c r="AW50" s="65"/>
      <c r="AX50" s="66"/>
      <c r="AY50" s="126"/>
      <c r="AZ50" s="98"/>
      <c r="BA50" s="64" t="e">
        <f>WEEKDAY([8]!Sheet_1_Table_1_13[[#This Row],[Lesson 4
Date 
(DD-MMM-YYYY)]])</f>
        <v>#REF!</v>
      </c>
      <c r="BB50" s="65"/>
      <c r="BC50" s="66"/>
      <c r="BD50" s="126"/>
      <c r="BE50" s="63"/>
      <c r="BF50" s="64" t="e">
        <f>WEEKDAY([8]!Sheet_1_Table_1_13[[#This Row],[Lesson 5
Date 
(DD-MMM-YYYY)]])</f>
        <v>#REF!</v>
      </c>
      <c r="BG50" s="65"/>
      <c r="BH50" s="66"/>
      <c r="BI50" s="126"/>
      <c r="BJ50" s="98"/>
      <c r="BK50" s="64" t="e">
        <f>WEEKDAY([8]!Sheet_1_Table_1_13[[#This Row],[Lesson 6
Date 
(DD-MMM-YYYY)]])</f>
        <v>#REF!</v>
      </c>
      <c r="BL50" s="65"/>
      <c r="BM50" s="66"/>
      <c r="BN50" s="99"/>
      <c r="BO50" s="54"/>
      <c r="BP50" s="69"/>
      <c r="BQ50" s="55"/>
      <c r="BR50" s="57"/>
      <c r="BS50" s="54"/>
      <c r="BT50" s="56"/>
      <c r="BU50" s="56"/>
      <c r="BV50" s="57"/>
      <c r="BW50" s="60"/>
      <c r="BX50" s="187"/>
      <c r="BY50" s="56"/>
      <c r="BZ50" s="56"/>
      <c r="CA50" s="56"/>
      <c r="CB50" s="72"/>
      <c r="CC50" s="72"/>
      <c r="CD50" s="72"/>
      <c r="CE50" s="60"/>
      <c r="CF50" s="72"/>
      <c r="CG50" s="56"/>
      <c r="CH50" s="57"/>
      <c r="CI50" s="52" t="s">
        <v>142</v>
      </c>
      <c r="CJ50" s="52" t="s">
        <v>142</v>
      </c>
      <c r="CK50" s="52" t="s">
        <v>142</v>
      </c>
      <c r="CL50" s="52" t="s">
        <v>142</v>
      </c>
      <c r="CM50" s="52" t="s">
        <v>142</v>
      </c>
      <c r="CN50" s="52" t="s">
        <v>142</v>
      </c>
      <c r="CO50" s="52" t="s">
        <v>142</v>
      </c>
      <c r="CP50" s="52" t="s">
        <v>142</v>
      </c>
      <c r="CQ50" s="52" t="s">
        <v>142</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N50" s="790"/>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80.099999999999994" customHeight="1">
      <c r="A51" s="48">
        <v>50</v>
      </c>
      <c r="B51" s="49"/>
      <c r="C51" s="50"/>
      <c r="D51" s="50"/>
      <c r="E51" s="51"/>
      <c r="F51" s="54"/>
      <c r="G51" s="53"/>
      <c r="H51" s="97"/>
      <c r="I51" s="57"/>
      <c r="J51" s="60"/>
      <c r="K51" s="628"/>
      <c r="L51" s="331"/>
      <c r="M51" s="56" t="s">
        <v>424</v>
      </c>
      <c r="N51" s="57"/>
      <c r="O51" s="114"/>
      <c r="P51" s="96"/>
      <c r="Q51" s="60"/>
      <c r="R51" s="61" t="e">
        <f>VLOOKUP(Sheet_1_Table_1_137[[#This Row],[Learning Domain]],[7]List!$A$7:$B$12,2,0)</f>
        <v>#N/A</v>
      </c>
      <c r="S51" s="55">
        <v>0</v>
      </c>
      <c r="T51" s="55">
        <v>0</v>
      </c>
      <c r="U51" s="55">
        <v>0</v>
      </c>
      <c r="V51" s="55">
        <v>0</v>
      </c>
      <c r="W51" s="55">
        <v>0</v>
      </c>
      <c r="X51" s="55">
        <v>0</v>
      </c>
      <c r="Y51" s="55">
        <v>0</v>
      </c>
      <c r="Z51" s="55">
        <v>0</v>
      </c>
      <c r="AA51" s="55">
        <v>0</v>
      </c>
      <c r="AB51" s="53">
        <f>SUM(Sheet_1_Table_1_137[[#This Row],[Leadership LS]:[Career Development  CR]])</f>
        <v>0</v>
      </c>
      <c r="AC51" s="97"/>
      <c r="AD51" s="55"/>
      <c r="AE51" s="55" t="s">
        <v>142</v>
      </c>
      <c r="AF51" s="55" t="s">
        <v>142</v>
      </c>
      <c r="AG51" s="55" t="s">
        <v>142</v>
      </c>
      <c r="AH51" s="55"/>
      <c r="AI51" s="55"/>
      <c r="AJ51" s="62">
        <f>Sheet_1_Table_1_137[[#This Row],[ILP Units Per Session]]*Sheet_1_Table_1_137[[#This Row],[Quota]]</f>
        <v>0</v>
      </c>
      <c r="AK51" s="63"/>
      <c r="AL51" s="64">
        <f>WEEKDAY(Sheet_1_Table_1_137[[#This Row],[Lesson 1 
Date 
(DD-MMM-YYYY)]])</f>
        <v>7</v>
      </c>
      <c r="AM51" s="65"/>
      <c r="AN51" s="66"/>
      <c r="AO51" s="67"/>
      <c r="AP51" s="68"/>
      <c r="AQ51" s="64">
        <f>WEEKDAY(Sheet_1_Table_1_137[[#This Row],[Lesson 1 
Date 
(DD-MMM-YYYY)]])</f>
        <v>7</v>
      </c>
      <c r="AR51" s="65"/>
      <c r="AS51" s="66"/>
      <c r="AT51" s="126"/>
      <c r="AU51" s="63"/>
      <c r="AV51" s="64" t="e">
        <f>WEEKDAY([8]!Sheet_1_Table_1_13[[#This Row],[Lesson 3
Date 
(DD-MMM-YYYY)]])</f>
        <v>#REF!</v>
      </c>
      <c r="AW51" s="65"/>
      <c r="AX51" s="66"/>
      <c r="AY51" s="126"/>
      <c r="AZ51" s="98"/>
      <c r="BA51" s="64" t="e">
        <f>WEEKDAY([8]!Sheet_1_Table_1_13[[#This Row],[Lesson 4
Date 
(DD-MMM-YYYY)]])</f>
        <v>#REF!</v>
      </c>
      <c r="BB51" s="65"/>
      <c r="BC51" s="66"/>
      <c r="BD51" s="126"/>
      <c r="BE51" s="63"/>
      <c r="BF51" s="64" t="e">
        <f>WEEKDAY([8]!Sheet_1_Table_1_13[[#This Row],[Lesson 5
Date 
(DD-MMM-YYYY)]])</f>
        <v>#REF!</v>
      </c>
      <c r="BG51" s="65"/>
      <c r="BH51" s="66"/>
      <c r="BI51" s="126"/>
      <c r="BJ51" s="98"/>
      <c r="BK51" s="64" t="e">
        <f>WEEKDAY([8]!Sheet_1_Table_1_13[[#This Row],[Lesson 6
Date 
(DD-MMM-YYYY)]])</f>
        <v>#REF!</v>
      </c>
      <c r="BL51" s="65"/>
      <c r="BM51" s="66"/>
      <c r="BN51" s="99"/>
      <c r="BO51" s="54"/>
      <c r="BP51" s="69"/>
      <c r="BQ51" s="55"/>
      <c r="BR51" s="57"/>
      <c r="BS51" s="54"/>
      <c r="BT51" s="56"/>
      <c r="BU51" s="56"/>
      <c r="BV51" s="57"/>
      <c r="BW51" s="60"/>
      <c r="BX51" s="187"/>
      <c r="BY51" s="56"/>
      <c r="BZ51" s="56"/>
      <c r="CA51" s="56"/>
      <c r="CB51" s="72"/>
      <c r="CC51" s="72"/>
      <c r="CD51" s="72"/>
      <c r="CE51" s="60"/>
      <c r="CF51" s="72"/>
      <c r="CG51" s="56"/>
      <c r="CH51" s="57"/>
      <c r="CI51" s="52" t="s">
        <v>142</v>
      </c>
      <c r="CJ51" s="52" t="s">
        <v>142</v>
      </c>
      <c r="CK51" s="52" t="s">
        <v>142</v>
      </c>
      <c r="CL51" s="52" t="s">
        <v>142</v>
      </c>
      <c r="CM51" s="52" t="s">
        <v>142</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N51" s="790"/>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K20">
    <cfRule type="cellIs" dxfId="113" priority="40" operator="greaterThan">
      <formula>0</formula>
    </cfRule>
  </conditionalFormatting>
  <conditionalFormatting sqref="K22:K23">
    <cfRule type="cellIs" dxfId="112" priority="33" operator="greaterThan">
      <formula>0</formula>
    </cfRule>
  </conditionalFormatting>
  <conditionalFormatting sqref="K25:L26">
    <cfRule type="cellIs" dxfId="111" priority="3" operator="greaterThan">
      <formula>0</formula>
    </cfRule>
  </conditionalFormatting>
  <conditionalFormatting sqref="L22:L23">
    <cfRule type="cellIs" dxfId="110" priority="35" operator="greaterThan">
      <formula>0</formula>
    </cfRule>
  </conditionalFormatting>
  <conditionalFormatting sqref="S3:AA51">
    <cfRule type="cellIs" dxfId="109" priority="4" operator="greaterThan">
      <formula>0</formula>
    </cfRule>
  </conditionalFormatting>
  <conditionalFormatting sqref="AB3:AB23">
    <cfRule type="cellIs" dxfId="108" priority="37" operator="notEqual">
      <formula>100</formula>
    </cfRule>
    <cfRule type="cellIs" dxfId="107" priority="38" operator="equal">
      <formula>100</formula>
    </cfRule>
  </conditionalFormatting>
  <conditionalFormatting sqref="AB25:AB51">
    <cfRule type="cellIs" dxfId="106" priority="5" operator="notEqual">
      <formula>100</formula>
    </cfRule>
    <cfRule type="cellIs" dxfId="105" priority="6" operator="equal">
      <formula>100</formula>
    </cfRule>
  </conditionalFormatting>
  <conditionalFormatting sqref="AE3:AG23 CI3:CZ24 CI35:CZ51">
    <cfRule type="containsText" dxfId="104" priority="34" operator="containsText" text="Y">
      <formula>NOT(ISERROR(SEARCH("Y",AE3)))</formula>
    </cfRule>
  </conditionalFormatting>
  <conditionalFormatting sqref="AE25:AG51">
    <cfRule type="containsText" dxfId="103" priority="2" operator="containsText" text="Y">
      <formula>NOT(ISERROR(SEARCH("Y",AE25)))</formula>
    </cfRule>
  </conditionalFormatting>
  <conditionalFormatting sqref="AE24:AI24">
    <cfRule type="containsText" dxfId="102" priority="31" operator="containsText" text="Y">
      <formula>NOT(ISERROR(SEARCH("Y",AE24)))</formula>
    </cfRule>
  </conditionalFormatting>
  <conditionalFormatting sqref="CI25:DB34">
    <cfRule type="containsText" dxfId="101" priority="1" operator="containsText" text="Y">
      <formula>NOT(ISERROR(SEARCH("Y",CI25)))</formula>
    </cfRule>
  </conditionalFormatting>
  <conditionalFormatting sqref="DI3:DJ51">
    <cfRule type="containsText" dxfId="100" priority="7" operator="containsText" text="Y">
      <formula>NOT(ISERROR(SEARCH("Y",DI3)))</formula>
    </cfRule>
  </conditionalFormatting>
  <hyperlinks>
    <hyperlink ref="CF3" r:id="rId1" xr:uid="{B6F9E0A8-FA4C-4921-92B2-418A73BE72E9}"/>
    <hyperlink ref="CH3" r:id="rId2" xr:uid="{A0D31C06-D030-4260-ADE1-E5B37BB73EEE}"/>
    <hyperlink ref="CF4" r:id="rId3" xr:uid="{334E1631-DA18-4519-8A4B-7A3B87CC632C}"/>
    <hyperlink ref="CF5" r:id="rId4" xr:uid="{62E33C3D-0AA8-4AE8-A3AC-2DDD744AA956}"/>
    <hyperlink ref="CF6" r:id="rId5" xr:uid="{BCF1E149-FC8F-44FF-B97F-F826517B8BD1}"/>
    <hyperlink ref="CF7" r:id="rId6" xr:uid="{3949BF01-4D3D-49D4-AB62-77076DECD79C}"/>
    <hyperlink ref="CF9" r:id="rId7" xr:uid="{B113ADEF-A04D-4BCE-9592-7CD8E07ABAAC}"/>
    <hyperlink ref="CF10" r:id="rId8" xr:uid="{1FF7C4F7-A969-4759-86FB-B3968DC6C35F}"/>
    <hyperlink ref="CF11" r:id="rId9" xr:uid="{497C5EA5-84BF-456D-8792-A47A39A2B257}"/>
    <hyperlink ref="CF12" r:id="rId10" xr:uid="{691EFA0D-9F34-4B4C-8617-2C26877749AB}"/>
    <hyperlink ref="CH4" r:id="rId11" xr:uid="{5C80D401-9BB9-4B06-926D-700798EF8BB6}"/>
    <hyperlink ref="CH5" r:id="rId12" xr:uid="{6628EDDA-045F-42CF-9D97-46FEE7FADE60}"/>
    <hyperlink ref="CH6" r:id="rId13" xr:uid="{21985E3C-851F-4858-A293-8F53E90AF72A}"/>
    <hyperlink ref="CH7" r:id="rId14" xr:uid="{D0EA1A4B-2C3C-4C16-BB42-D99587A92ED0}"/>
    <hyperlink ref="CH9" r:id="rId15" xr:uid="{0B08123F-2DA9-4B6C-869F-4EBBA85FD69B}"/>
    <hyperlink ref="CH10" r:id="rId16" xr:uid="{18622C24-DCA1-4022-9BA7-FDC81182D7CC}"/>
    <hyperlink ref="CH11" r:id="rId17" xr:uid="{A8F4B447-6C76-4455-81E3-59331C3A8FFF}"/>
    <hyperlink ref="CH12" r:id="rId18" xr:uid="{AC1AA6EC-6085-487D-A8FD-BAF00E41C5CB}"/>
    <hyperlink ref="CF13" r:id="rId19" xr:uid="{A305E4A5-E3F1-4DD4-8716-6D4E249684AF}"/>
    <hyperlink ref="CF14" r:id="rId20" xr:uid="{5466AF06-7407-4965-92D6-F712D5CADA0F}"/>
    <hyperlink ref="CH13" r:id="rId21" xr:uid="{97EA9CC0-0FC9-4F2E-9DDE-8CD8AE30859E}"/>
    <hyperlink ref="CH14" r:id="rId22" xr:uid="{D120C5AB-50EC-4FC5-8A8D-B62C39D0AECC}"/>
    <hyperlink ref="CF17" r:id="rId23" xr:uid="{BB0ACA99-56B5-42FB-8009-59742FAD08C3}"/>
    <hyperlink ref="CH17" r:id="rId24" xr:uid="{F48F1399-FF61-4CE0-8A3E-E15A2B077E0B}"/>
    <hyperlink ref="CF8" r:id="rId25" xr:uid="{1D22ECD6-D0BE-4645-972C-48BACFFFCAB6}"/>
    <hyperlink ref="CH8" r:id="rId26" xr:uid="{D28574BD-EED4-44C9-B9DC-A1E6D5D79040}"/>
    <hyperlink ref="CF18" r:id="rId27" xr:uid="{D3F6D1BE-FF54-4AD3-AB19-149A174F60FB}"/>
    <hyperlink ref="CH18" r:id="rId28" xr:uid="{6215C971-9F2E-495D-AC25-7D4C803081FC}"/>
    <hyperlink ref="CF15" r:id="rId29" xr:uid="{AD539572-E5A1-4678-AC57-00A33E03956C}"/>
    <hyperlink ref="CH15" r:id="rId30" xr:uid="{8D4D4C50-0309-458F-8981-51B0235FFC68}"/>
    <hyperlink ref="CF16" r:id="rId31" xr:uid="{C8484EEB-0318-4C0C-93E5-30035B3D5D2B}"/>
    <hyperlink ref="CH16" r:id="rId32" xr:uid="{8DB7B3A9-DDF9-41DD-9D25-DF02E0AC5BEC}"/>
    <hyperlink ref="CF19" r:id="rId33" xr:uid="{9FB61B73-DDF0-4589-A57A-3A22FA7C6D95}"/>
    <hyperlink ref="CF20" r:id="rId34" xr:uid="{A5385720-86E5-4670-B73E-05EAD2607A7D}"/>
    <hyperlink ref="CH23" r:id="rId35" xr:uid="{7B29317B-B667-4951-95C5-86B142595E52}"/>
  </hyperlinks>
  <pageMargins left="0.7" right="0.7" top="0.75" bottom="0.75" header="0.3" footer="0.3"/>
  <pageSetup paperSize="9" scale="27" fitToWidth="0" orientation="portrait" r:id="rId36"/>
  <tableParts count="1">
    <tablePart r:id="rId3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778BB-7994-4964-8701-1CCF8B114ED4}">
  <sheetPr>
    <pageSetUpPr fitToPage="1"/>
  </sheetPr>
  <dimension ref="A1:EZ74"/>
  <sheetViews>
    <sheetView tabSelected="1" topLeftCell="A34" zoomScale="63" zoomScaleNormal="63" workbookViewId="0">
      <selection activeCell="K39" sqref="K39"/>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5703125" style="3" customWidth="1"/>
    <col min="34" max="34" width="14" style="3" customWidth="1"/>
    <col min="35" max="35" width="13.5703125" style="3" customWidth="1"/>
    <col min="36" max="36" width="13.85546875" customWidth="1"/>
    <col min="37" max="37" width="16.85546875" customWidth="1"/>
    <col min="38" max="38" width="17.85546875" style="4" bestFit="1"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5" width="12.7109375" style="3" customWidth="1"/>
    <col min="106" max="106" width="12.42578125" style="3"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5703125"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80" t="s">
        <v>0</v>
      </c>
      <c r="C1" s="878"/>
      <c r="D1" s="878"/>
      <c r="E1" s="874"/>
      <c r="F1" s="2"/>
      <c r="G1" s="2"/>
      <c r="H1" s="873" t="s">
        <v>1</v>
      </c>
      <c r="I1" s="874"/>
      <c r="K1" s="873" t="s">
        <v>2</v>
      </c>
      <c r="L1" s="874"/>
      <c r="M1" s="4"/>
      <c r="N1" s="4"/>
      <c r="O1" s="875" t="s">
        <v>3</v>
      </c>
      <c r="P1" s="877"/>
      <c r="Q1" s="873" t="s">
        <v>4</v>
      </c>
      <c r="R1" s="874"/>
      <c r="S1" s="873" t="s">
        <v>5</v>
      </c>
      <c r="T1" s="878"/>
      <c r="U1" s="878"/>
      <c r="V1" s="878"/>
      <c r="W1" s="878"/>
      <c r="X1" s="878"/>
      <c r="Y1" s="878"/>
      <c r="Z1" s="878"/>
      <c r="AA1" s="878"/>
      <c r="AB1" s="874"/>
      <c r="AD1" s="3"/>
      <c r="AE1" s="3"/>
      <c r="AH1" s="875" t="s">
        <v>6</v>
      </c>
      <c r="AI1" s="876"/>
      <c r="AJ1" s="877"/>
      <c r="AK1" s="5" t="s">
        <v>7</v>
      </c>
      <c r="AL1" s="3"/>
      <c r="AM1" s="3"/>
      <c r="AN1" s="3"/>
      <c r="AP1" s="875" t="s">
        <v>8</v>
      </c>
      <c r="AQ1" s="876"/>
      <c r="AR1" s="876"/>
      <c r="AS1" s="876"/>
      <c r="AT1" s="876"/>
      <c r="AU1" s="876"/>
      <c r="AV1" s="876"/>
      <c r="AW1" s="876"/>
      <c r="AX1" s="876"/>
      <c r="AY1" s="876"/>
      <c r="AZ1" s="876"/>
      <c r="BA1" s="876"/>
      <c r="BB1" s="876"/>
      <c r="BC1" s="876"/>
      <c r="BD1" s="876"/>
      <c r="BE1" s="876"/>
      <c r="BF1" s="876"/>
      <c r="BG1" s="876"/>
      <c r="BH1" s="876"/>
      <c r="BI1" s="876"/>
      <c r="BJ1" s="876"/>
      <c r="BK1" s="876"/>
      <c r="BL1" s="876"/>
      <c r="BM1" s="876"/>
      <c r="BN1" s="877"/>
      <c r="BP1" s="5" t="s">
        <v>9</v>
      </c>
      <c r="BQ1" s="5" t="s">
        <v>10</v>
      </c>
      <c r="BR1" s="4"/>
      <c r="BT1" s="4"/>
      <c r="BU1" s="4"/>
      <c r="BV1" s="4"/>
      <c r="BW1" s="873" t="s">
        <v>11</v>
      </c>
      <c r="BX1" s="878"/>
      <c r="BY1" s="878"/>
      <c r="BZ1" s="878"/>
      <c r="CA1" s="874"/>
      <c r="CB1" s="879"/>
      <c r="CC1" s="879"/>
      <c r="CD1" s="879"/>
      <c r="CE1" s="873" t="s">
        <v>12</v>
      </c>
      <c r="CF1" s="878"/>
      <c r="CG1" s="878"/>
      <c r="CH1" s="874"/>
      <c r="CI1" s="6"/>
      <c r="CJ1" s="875" t="s">
        <v>13</v>
      </c>
      <c r="CK1" s="876"/>
      <c r="CL1" s="876"/>
      <c r="CM1" s="876"/>
      <c r="CN1" s="876"/>
      <c r="CO1" s="876"/>
      <c r="CP1" s="876"/>
      <c r="CQ1" s="876"/>
      <c r="CR1" s="876"/>
      <c r="CS1" s="876"/>
      <c r="CT1" s="876"/>
      <c r="CU1" s="876"/>
      <c r="CV1" s="876"/>
      <c r="CW1" s="876"/>
      <c r="CX1" s="876"/>
      <c r="CY1" s="876"/>
      <c r="CZ1" s="877"/>
      <c r="DB1" s="7"/>
      <c r="DC1" s="7"/>
      <c r="DD1" s="4"/>
      <c r="DE1" s="7"/>
      <c r="DF1" s="7"/>
      <c r="DG1" s="7"/>
      <c r="DH1" s="4"/>
      <c r="DI1" s="873" t="s">
        <v>14</v>
      </c>
      <c r="DJ1" s="874"/>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88" t="s">
        <v>24</v>
      </c>
      <c r="K2" s="28" t="s">
        <v>25</v>
      </c>
      <c r="L2" s="30" t="s">
        <v>26</v>
      </c>
      <c r="M2" s="189" t="s">
        <v>27</v>
      </c>
      <c r="N2" s="19" t="s">
        <v>28</v>
      </c>
      <c r="O2" s="20" t="s">
        <v>29</v>
      </c>
      <c r="P2" s="15" t="s">
        <v>30</v>
      </c>
      <c r="Q2" s="21" t="s">
        <v>31</v>
      </c>
      <c r="R2" s="23" t="s">
        <v>32</v>
      </c>
      <c r="S2" s="190"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c r="DN2" s="792" t="s">
        <v>2236</v>
      </c>
    </row>
    <row r="3" spans="1:156" ht="80.099999999999994" customHeight="1">
      <c r="A3" s="48">
        <v>2</v>
      </c>
      <c r="B3" s="49">
        <v>202609</v>
      </c>
      <c r="C3" s="197" t="s">
        <v>426</v>
      </c>
      <c r="D3" s="197" t="s">
        <v>251</v>
      </c>
      <c r="E3" s="198">
        <v>5867</v>
      </c>
      <c r="F3" s="461" t="s">
        <v>134</v>
      </c>
      <c r="G3" s="462" t="s">
        <v>427</v>
      </c>
      <c r="H3" s="191" t="s">
        <v>428</v>
      </c>
      <c r="I3" s="647" t="s">
        <v>429</v>
      </c>
      <c r="J3" s="766" t="s">
        <v>430</v>
      </c>
      <c r="K3" s="764" t="s">
        <v>431</v>
      </c>
      <c r="L3" s="462"/>
      <c r="M3" s="652" t="s">
        <v>432</v>
      </c>
      <c r="N3" s="647" t="s">
        <v>433</v>
      </c>
      <c r="O3" s="192" t="s">
        <v>146</v>
      </c>
      <c r="P3" s="193" t="s">
        <v>146</v>
      </c>
      <c r="Q3" s="60" t="s">
        <v>434</v>
      </c>
      <c r="R3" s="200" t="str">
        <f>VLOOKUP(Sheet_1_Table_1_134[[#This Row],[Learning Domain]],[1]List!$A$7:$B$12,2,0)</f>
        <v>IED</v>
      </c>
      <c r="S3" s="461">
        <v>20</v>
      </c>
      <c r="T3" s="634">
        <v>0</v>
      </c>
      <c r="U3" s="634">
        <v>0</v>
      </c>
      <c r="V3" s="634">
        <v>0</v>
      </c>
      <c r="W3" s="634">
        <v>0</v>
      </c>
      <c r="X3" s="634">
        <v>0</v>
      </c>
      <c r="Y3" s="634">
        <v>0</v>
      </c>
      <c r="Z3" s="634">
        <v>0</v>
      </c>
      <c r="AA3" s="634">
        <v>80</v>
      </c>
      <c r="AB3" s="53">
        <f>SUM(Sheet_1_Table_1_134[[#This Row],[Leadership LS]:[Career Development  CR]])</f>
        <v>100</v>
      </c>
      <c r="AC3" s="52" t="s">
        <v>199</v>
      </c>
      <c r="AD3" s="201" t="s">
        <v>386</v>
      </c>
      <c r="AE3" s="201" t="s">
        <v>142</v>
      </c>
      <c r="AF3" s="201" t="s">
        <v>146</v>
      </c>
      <c r="AG3" s="201" t="s">
        <v>142</v>
      </c>
      <c r="AH3" s="201">
        <v>2</v>
      </c>
      <c r="AI3" s="55">
        <v>100</v>
      </c>
      <c r="AJ3" s="202">
        <f>Sheet_1_Table_1_134[[#This Row],[ILP Units Per Session]]*Sheet_1_Table_1_134[[#This Row],[Quota]]</f>
        <v>200</v>
      </c>
      <c r="AK3" s="203">
        <v>46286</v>
      </c>
      <c r="AL3" s="165">
        <f>WEEKDAY(Sheet_1_Table_1_134[[#This Row],[Lesson 1 
Date 
(DD-MMM-YYYY)]])</f>
        <v>2</v>
      </c>
      <c r="AM3" s="204">
        <v>0.6875</v>
      </c>
      <c r="AN3" s="205">
        <v>0.77083333333333337</v>
      </c>
      <c r="AO3" s="207" t="s">
        <v>182</v>
      </c>
      <c r="AP3" s="68"/>
      <c r="AQ3" s="64">
        <f>WEEKDAY(Sheet_1_Table_1_134[[#This Row],[Lesson 2
Date 
(DD-MMM-YYYY)]])</f>
        <v>7</v>
      </c>
      <c r="AR3" s="65"/>
      <c r="AS3" s="66"/>
      <c r="AT3" s="66"/>
      <c r="AU3" s="203"/>
      <c r="AV3" s="165">
        <f>WEEKDAY(Sheet_1_Table_1_134[[#This Row],[Lesson 3
Date 
(DD-MMM-YYYY)]])</f>
        <v>7</v>
      </c>
      <c r="AW3" s="204"/>
      <c r="AX3" s="205"/>
      <c r="AY3" s="207"/>
      <c r="AZ3" s="68"/>
      <c r="BA3" s="64">
        <f>WEEKDAY(Sheet_1_Table_1_134[[#This Row],[Lesson 4
Date 
(DD-MMM-YYYY)]])</f>
        <v>7</v>
      </c>
      <c r="BB3" s="65"/>
      <c r="BC3" s="66"/>
      <c r="BD3" s="66"/>
      <c r="BE3" s="203"/>
      <c r="BF3" s="165">
        <f>WEEKDAY(Sheet_1_Table_1_134[[#This Row],[Lesson 5
Date 
(DD-MMM-YYYY)]])</f>
        <v>7</v>
      </c>
      <c r="BG3" s="204"/>
      <c r="BH3" s="205"/>
      <c r="BI3" s="207"/>
      <c r="BJ3" s="68"/>
      <c r="BK3" s="165">
        <f>WEEKDAY(Sheet_1_Table_1_134[[#This Row],[Lesson 6
Date 
(DD-MMM-YYYY)]])</f>
        <v>7</v>
      </c>
      <c r="BL3" s="204"/>
      <c r="BM3" s="205"/>
      <c r="BN3" s="205"/>
      <c r="BO3" s="208" t="s">
        <v>293</v>
      </c>
      <c r="BP3" s="209" t="s">
        <v>435</v>
      </c>
      <c r="BQ3" s="210" t="s">
        <v>436</v>
      </c>
      <c r="BR3" s="211" t="s">
        <v>437</v>
      </c>
      <c r="BS3" s="52"/>
      <c r="BT3" s="210"/>
      <c r="BU3" s="210"/>
      <c r="BV3" s="70"/>
      <c r="BW3" s="60"/>
      <c r="BX3" s="71"/>
      <c r="BY3" s="210" t="s">
        <v>149</v>
      </c>
      <c r="BZ3" s="210"/>
      <c r="CA3" s="210" t="s">
        <v>149</v>
      </c>
      <c r="CB3" s="322" t="s">
        <v>438</v>
      </c>
      <c r="CC3" s="323" t="s">
        <v>439</v>
      </c>
      <c r="CD3" s="324">
        <v>91596435</v>
      </c>
      <c r="CE3" s="214" t="s">
        <v>440</v>
      </c>
      <c r="CF3" s="213" t="s">
        <v>441</v>
      </c>
      <c r="CG3" s="56" t="s">
        <v>442</v>
      </c>
      <c r="CH3" s="57" t="s">
        <v>443</v>
      </c>
      <c r="CI3" s="215" t="s">
        <v>146</v>
      </c>
      <c r="CJ3" s="52" t="s">
        <v>142</v>
      </c>
      <c r="CK3" s="52" t="s">
        <v>142</v>
      </c>
      <c r="CL3" s="52" t="s">
        <v>142</v>
      </c>
      <c r="CM3" s="52" t="s">
        <v>142</v>
      </c>
      <c r="CN3" s="52" t="s">
        <v>142</v>
      </c>
      <c r="CO3" s="52" t="s">
        <v>142</v>
      </c>
      <c r="CP3" s="52" t="s">
        <v>142</v>
      </c>
      <c r="CQ3" s="52" t="s">
        <v>146</v>
      </c>
      <c r="CR3" s="52" t="s">
        <v>146</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216"/>
      <c r="DH3" s="216"/>
      <c r="DI3" s="74"/>
      <c r="DJ3" s="75"/>
      <c r="DK3" s="217" t="s">
        <v>146</v>
      </c>
      <c r="DL3" s="217" t="s">
        <v>146</v>
      </c>
      <c r="DM3" s="217" t="s">
        <v>146</v>
      </c>
      <c r="DN3" s="790"/>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3</v>
      </c>
      <c r="B4" s="49">
        <v>202609</v>
      </c>
      <c r="C4" s="50" t="s">
        <v>444</v>
      </c>
      <c r="D4" s="50" t="s">
        <v>251</v>
      </c>
      <c r="E4" s="198">
        <v>5895</v>
      </c>
      <c r="F4" s="461" t="s">
        <v>134</v>
      </c>
      <c r="G4" s="462" t="s">
        <v>427</v>
      </c>
      <c r="H4" s="52"/>
      <c r="I4" s="70"/>
      <c r="J4" s="302" t="s">
        <v>445</v>
      </c>
      <c r="K4" s="60" t="s">
        <v>446</v>
      </c>
      <c r="L4" s="53"/>
      <c r="M4" s="72" t="s">
        <v>447</v>
      </c>
      <c r="N4" s="70" t="s">
        <v>448</v>
      </c>
      <c r="O4" s="218" t="s">
        <v>146</v>
      </c>
      <c r="P4" s="193" t="s">
        <v>146</v>
      </c>
      <c r="Q4" s="60" t="s">
        <v>434</v>
      </c>
      <c r="R4" s="200" t="str">
        <f>VLOOKUP(Sheet_1_Table_1_134[[#This Row],[Learning Domain]],[1]List!$A$7:$B$12,2,0)</f>
        <v>IED</v>
      </c>
      <c r="S4" s="52">
        <v>30</v>
      </c>
      <c r="T4" s="55">
        <v>0</v>
      </c>
      <c r="U4" s="55">
        <v>0</v>
      </c>
      <c r="V4" s="55">
        <v>0</v>
      </c>
      <c r="W4" s="55">
        <v>0</v>
      </c>
      <c r="X4" s="55">
        <v>0</v>
      </c>
      <c r="Y4" s="55">
        <v>0</v>
      </c>
      <c r="Z4" s="55">
        <v>0</v>
      </c>
      <c r="AA4" s="55">
        <v>70</v>
      </c>
      <c r="AB4" s="53">
        <f>SUM(Sheet_1_Table_1_134[[#This Row],[Leadership LS]:[Career Development  CR]])</f>
        <v>100</v>
      </c>
      <c r="AC4" s="52" t="s">
        <v>144</v>
      </c>
      <c r="AD4" s="201" t="s">
        <v>190</v>
      </c>
      <c r="AE4" s="201" t="s">
        <v>142</v>
      </c>
      <c r="AF4" s="201" t="s">
        <v>146</v>
      </c>
      <c r="AG4" s="201" t="s">
        <v>142</v>
      </c>
      <c r="AH4" s="201">
        <v>1</v>
      </c>
      <c r="AI4" s="174">
        <v>40</v>
      </c>
      <c r="AJ4" s="202">
        <f>Sheet_1_Table_1_134[[#This Row],[ILP Units Per Session]]*Sheet_1_Table_1_134[[#This Row],[Quota]]</f>
        <v>40</v>
      </c>
      <c r="AK4" s="309">
        <v>46286</v>
      </c>
      <c r="AL4" s="64">
        <f>WEEKDAY(Sheet_1_Table_1_134[[#This Row],[Lesson 1 
Date 
(DD-MMM-YYYY)]])</f>
        <v>2</v>
      </c>
      <c r="AM4" s="204">
        <v>0.66666666666666663</v>
      </c>
      <c r="AN4" s="205">
        <v>0.70833333333333337</v>
      </c>
      <c r="AO4" s="206" t="s">
        <v>191</v>
      </c>
      <c r="AP4" s="68"/>
      <c r="AQ4" s="64">
        <f>WEEKDAY(Sheet_1_Table_1_134[[#This Row],[Lesson 2
Date 
(DD-MMM-YYYY)]])</f>
        <v>7</v>
      </c>
      <c r="AR4" s="65"/>
      <c r="AS4" s="66"/>
      <c r="AT4" s="66"/>
      <c r="AU4" s="203"/>
      <c r="AV4" s="165">
        <f>WEEKDAY(Sheet_1_Table_1_134[[#This Row],[Lesson 3
Date 
(DD-MMM-YYYY)]])</f>
        <v>7</v>
      </c>
      <c r="AW4" s="204"/>
      <c r="AX4" s="205"/>
      <c r="AY4" s="207"/>
      <c r="AZ4" s="68"/>
      <c r="BA4" s="64">
        <f>WEEKDAY(Sheet_1_Table_1_134[[#This Row],[Lesson 4
Date 
(DD-MMM-YYYY)]])</f>
        <v>7</v>
      </c>
      <c r="BB4" s="65"/>
      <c r="BC4" s="66"/>
      <c r="BD4" s="66"/>
      <c r="BE4" s="203"/>
      <c r="BF4" s="165">
        <f>WEEKDAY(Sheet_1_Table_1_134[[#This Row],[Lesson 5
Date 
(DD-MMM-YYYY)]])</f>
        <v>7</v>
      </c>
      <c r="BG4" s="204"/>
      <c r="BH4" s="205"/>
      <c r="BI4" s="207"/>
      <c r="BJ4" s="68"/>
      <c r="BK4" s="165">
        <f>WEEKDAY(Sheet_1_Table_1_134[[#This Row],[Lesson 6
Date 
(DD-MMM-YYYY)]])</f>
        <v>7</v>
      </c>
      <c r="BL4" s="204"/>
      <c r="BM4" s="205"/>
      <c r="BN4" s="205"/>
      <c r="BO4" s="208"/>
      <c r="BP4" s="209" t="s">
        <v>449</v>
      </c>
      <c r="BQ4" s="210"/>
      <c r="BR4" s="211"/>
      <c r="BS4" s="52"/>
      <c r="BT4" s="210"/>
      <c r="BU4" s="210"/>
      <c r="BV4" s="70"/>
      <c r="BW4" s="60"/>
      <c r="BX4" s="71"/>
      <c r="BY4" s="210"/>
      <c r="BZ4" s="210"/>
      <c r="CA4" s="210"/>
      <c r="CB4" s="212"/>
      <c r="CC4" s="212"/>
      <c r="CD4" s="213"/>
      <c r="CE4" s="214" t="s">
        <v>440</v>
      </c>
      <c r="CF4" s="213" t="s">
        <v>441</v>
      </c>
      <c r="CG4" s="56" t="s">
        <v>450</v>
      </c>
      <c r="CH4" s="57" t="s">
        <v>451</v>
      </c>
      <c r="CI4" s="215" t="s">
        <v>142</v>
      </c>
      <c r="CJ4" s="52" t="s">
        <v>142</v>
      </c>
      <c r="CK4" s="52" t="s">
        <v>142</v>
      </c>
      <c r="CL4" s="52" t="s">
        <v>142</v>
      </c>
      <c r="CM4" s="52" t="s">
        <v>142</v>
      </c>
      <c r="CN4" s="52" t="s">
        <v>142</v>
      </c>
      <c r="CO4" s="52" t="s">
        <v>142</v>
      </c>
      <c r="CP4" s="52" t="s">
        <v>142</v>
      </c>
      <c r="CQ4" s="52" t="s">
        <v>146</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216"/>
      <c r="DH4" s="216"/>
      <c r="DI4" s="74"/>
      <c r="DJ4" s="75"/>
      <c r="DK4" s="217" t="s">
        <v>146</v>
      </c>
      <c r="DL4" s="217" t="s">
        <v>146</v>
      </c>
      <c r="DM4" s="217" t="s">
        <v>146</v>
      </c>
      <c r="DN4" s="790"/>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4</v>
      </c>
      <c r="B5" s="49">
        <v>202609</v>
      </c>
      <c r="C5" s="50" t="s">
        <v>452</v>
      </c>
      <c r="D5" s="50" t="s">
        <v>251</v>
      </c>
      <c r="E5" s="51">
        <v>5869</v>
      </c>
      <c r="F5" s="461" t="s">
        <v>134</v>
      </c>
      <c r="G5" s="462" t="s">
        <v>427</v>
      </c>
      <c r="H5" s="191" t="s">
        <v>453</v>
      </c>
      <c r="I5" s="199" t="s">
        <v>454</v>
      </c>
      <c r="J5" s="766" t="s">
        <v>455</v>
      </c>
      <c r="K5" s="764" t="s">
        <v>456</v>
      </c>
      <c r="L5" s="462" t="s">
        <v>457</v>
      </c>
      <c r="M5" s="652" t="s">
        <v>458</v>
      </c>
      <c r="N5" s="765" t="s">
        <v>459</v>
      </c>
      <c r="O5" s="192" t="s">
        <v>146</v>
      </c>
      <c r="P5" s="193" t="s">
        <v>146</v>
      </c>
      <c r="Q5" s="60" t="s">
        <v>434</v>
      </c>
      <c r="R5" s="194" t="str">
        <f>VLOOKUP(Sheet_1_Table_1_134[[#This Row],[Learning Domain]],[1]List!$A$7:$B$12,2,0)</f>
        <v>IED</v>
      </c>
      <c r="S5" s="461">
        <v>20</v>
      </c>
      <c r="T5" s="634">
        <v>10</v>
      </c>
      <c r="U5" s="634">
        <v>0</v>
      </c>
      <c r="V5" s="634">
        <v>0</v>
      </c>
      <c r="W5" s="634">
        <v>0</v>
      </c>
      <c r="X5" s="634">
        <v>0</v>
      </c>
      <c r="Y5" s="634">
        <v>0</v>
      </c>
      <c r="Z5" s="634">
        <v>0</v>
      </c>
      <c r="AA5" s="634">
        <v>70</v>
      </c>
      <c r="AB5" s="53">
        <f>SUM(Sheet_1_Table_1_134[[#This Row],[Leadership LS]:[Career Development  CR]])</f>
        <v>100</v>
      </c>
      <c r="AC5" s="52" t="s">
        <v>199</v>
      </c>
      <c r="AD5" s="55" t="s">
        <v>190</v>
      </c>
      <c r="AE5" s="55" t="s">
        <v>142</v>
      </c>
      <c r="AF5" s="55" t="s">
        <v>146</v>
      </c>
      <c r="AG5" s="55" t="s">
        <v>142</v>
      </c>
      <c r="AH5" s="55">
        <v>2</v>
      </c>
      <c r="AI5" s="174">
        <v>30</v>
      </c>
      <c r="AJ5" s="62">
        <f>Sheet_1_Table_1_134[[#This Row],[ILP Units Per Session]]*Sheet_1_Table_1_134[[#This Row],[Quota]]</f>
        <v>60</v>
      </c>
      <c r="AK5" s="63">
        <v>46287</v>
      </c>
      <c r="AL5" s="165">
        <f>WEEKDAY(Sheet_1_Table_1_134[[#This Row],[Lesson 1 
Date 
(DD-MMM-YYYY)]])</f>
        <v>3</v>
      </c>
      <c r="AM5" s="65">
        <v>0.5625</v>
      </c>
      <c r="AN5" s="66">
        <v>0.64583333333333337</v>
      </c>
      <c r="AO5" s="183" t="s">
        <v>460</v>
      </c>
      <c r="AP5" s="68"/>
      <c r="AQ5" s="64">
        <f>WEEKDAY(Sheet_1_Table_1_134[[#This Row],[Lesson 2
Date 
(DD-MMM-YYYY)]])</f>
        <v>7</v>
      </c>
      <c r="AR5" s="65"/>
      <c r="AS5" s="66"/>
      <c r="AT5" s="66"/>
      <c r="AU5" s="63"/>
      <c r="AV5" s="64">
        <f>WEEKDAY(Sheet_1_Table_1_134[[#This Row],[Lesson 3
Date 
(DD-MMM-YYYY)]])</f>
        <v>7</v>
      </c>
      <c r="AW5" s="65"/>
      <c r="AX5" s="66"/>
      <c r="AY5" s="67"/>
      <c r="AZ5" s="68"/>
      <c r="BA5" s="64">
        <f>WEEKDAY(Sheet_1_Table_1_134[[#This Row],[Lesson 4
Date 
(DD-MMM-YYYY)]])</f>
        <v>7</v>
      </c>
      <c r="BB5" s="65"/>
      <c r="BC5" s="66"/>
      <c r="BD5" s="66"/>
      <c r="BE5" s="63"/>
      <c r="BF5" s="64">
        <f>WEEKDAY(Sheet_1_Table_1_134[[#This Row],[Lesson 5
Date 
(DD-MMM-YYYY)]])</f>
        <v>7</v>
      </c>
      <c r="BG5" s="65"/>
      <c r="BH5" s="66"/>
      <c r="BI5" s="67"/>
      <c r="BJ5" s="68"/>
      <c r="BK5" s="64">
        <f>WEEKDAY(Sheet_1_Table_1_134[[#This Row],[Lesson 6
Date 
(DD-MMM-YYYY)]])</f>
        <v>7</v>
      </c>
      <c r="BL5" s="65"/>
      <c r="BM5" s="66"/>
      <c r="BN5" s="66"/>
      <c r="BO5" s="54" t="s">
        <v>293</v>
      </c>
      <c r="BP5" s="69" t="s">
        <v>461</v>
      </c>
      <c r="BQ5" s="56" t="s">
        <v>462</v>
      </c>
      <c r="BR5" s="57" t="s">
        <v>463</v>
      </c>
      <c r="BS5" s="52"/>
      <c r="BT5" s="69"/>
      <c r="BU5" s="55"/>
      <c r="BV5" s="70"/>
      <c r="BW5" s="60"/>
      <c r="BX5" s="71"/>
      <c r="BY5" s="56" t="s">
        <v>149</v>
      </c>
      <c r="BZ5" s="56"/>
      <c r="CA5" s="56" t="s">
        <v>149</v>
      </c>
      <c r="CB5" s="72"/>
      <c r="CC5" s="72"/>
      <c r="CD5" s="71"/>
      <c r="CE5" s="60" t="s">
        <v>440</v>
      </c>
      <c r="CF5" s="71" t="s">
        <v>441</v>
      </c>
      <c r="CG5" s="56" t="s">
        <v>442</v>
      </c>
      <c r="CH5" s="57" t="s">
        <v>443</v>
      </c>
      <c r="CI5" s="52" t="s">
        <v>146</v>
      </c>
      <c r="CJ5" s="52" t="s">
        <v>142</v>
      </c>
      <c r="CK5" s="52" t="s">
        <v>142</v>
      </c>
      <c r="CL5" s="52" t="s">
        <v>142</v>
      </c>
      <c r="CM5" s="52" t="s">
        <v>142</v>
      </c>
      <c r="CN5" s="52" t="s">
        <v>142</v>
      </c>
      <c r="CO5" s="52" t="s">
        <v>142</v>
      </c>
      <c r="CP5" s="52" t="s">
        <v>142</v>
      </c>
      <c r="CQ5" s="52" t="s">
        <v>146</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N5" s="790"/>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5</v>
      </c>
      <c r="B6" s="49">
        <v>202609</v>
      </c>
      <c r="C6" s="50" t="s">
        <v>452</v>
      </c>
      <c r="D6" s="50" t="s">
        <v>251</v>
      </c>
      <c r="E6" s="51">
        <v>5870</v>
      </c>
      <c r="F6" s="461" t="s">
        <v>134</v>
      </c>
      <c r="G6" s="462" t="s">
        <v>427</v>
      </c>
      <c r="H6" s="191" t="s">
        <v>453</v>
      </c>
      <c r="I6" s="199" t="s">
        <v>454</v>
      </c>
      <c r="J6" s="763" t="s">
        <v>455</v>
      </c>
      <c r="K6" s="764" t="s">
        <v>456</v>
      </c>
      <c r="L6" s="462" t="s">
        <v>464</v>
      </c>
      <c r="M6" s="652" t="s">
        <v>458</v>
      </c>
      <c r="N6" s="647" t="s">
        <v>459</v>
      </c>
      <c r="O6" s="192" t="s">
        <v>146</v>
      </c>
      <c r="P6" s="193" t="s">
        <v>146</v>
      </c>
      <c r="Q6" s="60" t="s">
        <v>434</v>
      </c>
      <c r="R6" s="200" t="str">
        <f>VLOOKUP(Sheet_1_Table_1_134[[#This Row],[Learning Domain]],[1]List!$A$7:$B$12,2,0)</f>
        <v>IED</v>
      </c>
      <c r="S6" s="461">
        <v>20</v>
      </c>
      <c r="T6" s="634">
        <v>10</v>
      </c>
      <c r="U6" s="634">
        <v>0</v>
      </c>
      <c r="V6" s="634">
        <v>0</v>
      </c>
      <c r="W6" s="634">
        <v>0</v>
      </c>
      <c r="X6" s="634">
        <v>0</v>
      </c>
      <c r="Y6" s="634">
        <v>0</v>
      </c>
      <c r="Z6" s="634">
        <v>0</v>
      </c>
      <c r="AA6" s="634">
        <v>70</v>
      </c>
      <c r="AB6" s="53">
        <f>SUM(Sheet_1_Table_1_134[[#This Row],[Leadership LS]:[Career Development  CR]])</f>
        <v>100</v>
      </c>
      <c r="AC6" s="52" t="s">
        <v>199</v>
      </c>
      <c r="AD6" s="55" t="s">
        <v>190</v>
      </c>
      <c r="AE6" s="55" t="s">
        <v>142</v>
      </c>
      <c r="AF6" s="55" t="s">
        <v>142</v>
      </c>
      <c r="AG6" s="55" t="s">
        <v>146</v>
      </c>
      <c r="AH6" s="55">
        <v>2</v>
      </c>
      <c r="AI6" s="55">
        <v>40</v>
      </c>
      <c r="AJ6" s="62">
        <f>Sheet_1_Table_1_134[[#This Row],[ILP Units Per Session]]*Sheet_1_Table_1_134[[#This Row],[Quota]]</f>
        <v>80</v>
      </c>
      <c r="AK6" s="63">
        <v>46287</v>
      </c>
      <c r="AL6" s="64">
        <f>WEEKDAY(Sheet_1_Table_1_134[[#This Row],[Lesson 1 
Date 
(DD-MMM-YYYY)]])</f>
        <v>3</v>
      </c>
      <c r="AM6" s="65">
        <v>0.6875</v>
      </c>
      <c r="AN6" s="66">
        <v>0.77083333333333337</v>
      </c>
      <c r="AO6" s="183" t="s">
        <v>147</v>
      </c>
      <c r="AP6" s="68"/>
      <c r="AQ6" s="64">
        <f>WEEKDAY(Sheet_1_Table_1_134[[#This Row],[Lesson 2
Date 
(DD-MMM-YYYY)]])</f>
        <v>7</v>
      </c>
      <c r="AR6" s="65"/>
      <c r="AS6" s="66"/>
      <c r="AT6" s="66"/>
      <c r="AU6" s="63"/>
      <c r="AV6" s="64">
        <f>WEEKDAY(Sheet_1_Table_1_134[[#This Row],[Lesson 3
Date 
(DD-MMM-YYYY)]])</f>
        <v>7</v>
      </c>
      <c r="AW6" s="65"/>
      <c r="AX6" s="66"/>
      <c r="AY6" s="67"/>
      <c r="AZ6" s="68"/>
      <c r="BA6" s="64">
        <f>WEEKDAY(Sheet_1_Table_1_134[[#This Row],[Lesson 4
Date 
(DD-MMM-YYYY)]])</f>
        <v>7</v>
      </c>
      <c r="BB6" s="65"/>
      <c r="BC6" s="66"/>
      <c r="BD6" s="66"/>
      <c r="BE6" s="63"/>
      <c r="BF6" s="64">
        <f>WEEKDAY(Sheet_1_Table_1_134[[#This Row],[Lesson 5
Date 
(DD-MMM-YYYY)]])</f>
        <v>7</v>
      </c>
      <c r="BG6" s="65"/>
      <c r="BH6" s="66"/>
      <c r="BI6" s="67"/>
      <c r="BJ6" s="68"/>
      <c r="BK6" s="64">
        <f>WEEKDAY(Sheet_1_Table_1_134[[#This Row],[Lesson 6
Date 
(DD-MMM-YYYY)]])</f>
        <v>7</v>
      </c>
      <c r="BL6" s="65"/>
      <c r="BM6" s="66"/>
      <c r="BN6" s="66"/>
      <c r="BO6" s="54" t="s">
        <v>293</v>
      </c>
      <c r="BP6" s="69" t="s">
        <v>461</v>
      </c>
      <c r="BQ6" s="56" t="s">
        <v>462</v>
      </c>
      <c r="BR6" s="57" t="s">
        <v>463</v>
      </c>
      <c r="BS6" s="52"/>
      <c r="BT6" s="69"/>
      <c r="BU6" s="55"/>
      <c r="BV6" s="70"/>
      <c r="BW6" s="60"/>
      <c r="BX6" s="71"/>
      <c r="BY6" s="56" t="s">
        <v>149</v>
      </c>
      <c r="BZ6" s="56"/>
      <c r="CA6" s="56" t="s">
        <v>149</v>
      </c>
      <c r="CB6" s="72"/>
      <c r="CC6" s="72"/>
      <c r="CD6" s="71"/>
      <c r="CE6" s="60" t="s">
        <v>440</v>
      </c>
      <c r="CF6" s="71" t="s">
        <v>441</v>
      </c>
      <c r="CG6" s="56" t="s">
        <v>442</v>
      </c>
      <c r="CH6" s="57" t="s">
        <v>443</v>
      </c>
      <c r="CI6" s="52" t="s">
        <v>146</v>
      </c>
      <c r="CJ6" s="52" t="s">
        <v>142</v>
      </c>
      <c r="CK6" s="52" t="s">
        <v>142</v>
      </c>
      <c r="CL6" s="52" t="s">
        <v>142</v>
      </c>
      <c r="CM6" s="52" t="s">
        <v>142</v>
      </c>
      <c r="CN6" s="52" t="s">
        <v>142</v>
      </c>
      <c r="CO6" s="52" t="s">
        <v>142</v>
      </c>
      <c r="CP6" s="52" t="s">
        <v>142</v>
      </c>
      <c r="CQ6" s="52" t="s">
        <v>146</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N6" s="790"/>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6</v>
      </c>
      <c r="B7" s="49">
        <v>202609</v>
      </c>
      <c r="C7" s="50" t="s">
        <v>465</v>
      </c>
      <c r="D7" s="50" t="s">
        <v>251</v>
      </c>
      <c r="E7" s="51">
        <v>5884</v>
      </c>
      <c r="F7" s="461" t="s">
        <v>134</v>
      </c>
      <c r="G7" s="462" t="s">
        <v>427</v>
      </c>
      <c r="H7" s="767" t="s">
        <v>428</v>
      </c>
      <c r="I7" s="647" t="s">
        <v>429</v>
      </c>
      <c r="J7" s="763"/>
      <c r="K7" s="764" t="s">
        <v>466</v>
      </c>
      <c r="L7" s="462"/>
      <c r="M7" s="652" t="s">
        <v>467</v>
      </c>
      <c r="N7" s="647" t="s">
        <v>468</v>
      </c>
      <c r="O7" s="192" t="s">
        <v>146</v>
      </c>
      <c r="P7" s="193" t="s">
        <v>146</v>
      </c>
      <c r="Q7" s="60" t="s">
        <v>434</v>
      </c>
      <c r="R7" s="200" t="str">
        <f>VLOOKUP(Sheet_1_Table_1_134[[#This Row],[Learning Domain]],[1]List!$A$7:$B$12,2,0)</f>
        <v>IED</v>
      </c>
      <c r="S7" s="461">
        <v>30</v>
      </c>
      <c r="T7" s="634">
        <v>0</v>
      </c>
      <c r="U7" s="634">
        <v>0</v>
      </c>
      <c r="V7" s="634">
        <v>0</v>
      </c>
      <c r="W7" s="634">
        <v>0</v>
      </c>
      <c r="X7" s="634">
        <v>0</v>
      </c>
      <c r="Y7" s="634">
        <v>0</v>
      </c>
      <c r="Z7" s="634">
        <v>0</v>
      </c>
      <c r="AA7" s="634">
        <v>70</v>
      </c>
      <c r="AB7" s="132">
        <v>100</v>
      </c>
      <c r="AC7" s="52" t="s">
        <v>144</v>
      </c>
      <c r="AD7" s="55" t="s">
        <v>190</v>
      </c>
      <c r="AE7" s="55" t="s">
        <v>142</v>
      </c>
      <c r="AF7" s="55" t="s">
        <v>146</v>
      </c>
      <c r="AG7" s="55" t="s">
        <v>142</v>
      </c>
      <c r="AH7" s="55">
        <v>1</v>
      </c>
      <c r="AI7" s="55">
        <v>80</v>
      </c>
      <c r="AJ7" s="62">
        <f>Sheet_1_Table_1_134[[#This Row],[ILP Units Per Session]]*Sheet_1_Table_1_134[[#This Row],[Quota]]</f>
        <v>80</v>
      </c>
      <c r="AK7" s="63">
        <v>46288</v>
      </c>
      <c r="AL7" s="165">
        <f>WEEKDAY(Sheet_1_Table_1_134[[#This Row],[Lesson 1 
Date 
(DD-MMM-YYYY)]])</f>
        <v>4</v>
      </c>
      <c r="AM7" s="65">
        <v>0.6875</v>
      </c>
      <c r="AN7" s="66">
        <v>0.72916666666666663</v>
      </c>
      <c r="AO7" s="183" t="s">
        <v>147</v>
      </c>
      <c r="AP7" s="68"/>
      <c r="AQ7" s="64">
        <f>WEEKDAY(Sheet_1_Table_1_134[[#This Row],[Lesson 2
Date 
(DD-MMM-YYYY)]])</f>
        <v>7</v>
      </c>
      <c r="AR7" s="65"/>
      <c r="AS7" s="66"/>
      <c r="AT7" s="66"/>
      <c r="AU7" s="63"/>
      <c r="AV7" s="165">
        <f>WEEKDAY(Sheet_1_Table_1_134[[#This Row],[Lesson 3
Date 
(DD-MMM-YYYY)]])</f>
        <v>7</v>
      </c>
      <c r="AW7" s="65"/>
      <c r="AX7" s="66"/>
      <c r="AY7" s="67"/>
      <c r="AZ7" s="68"/>
      <c r="BA7" s="64">
        <f>WEEKDAY(Sheet_1_Table_1_134[[#This Row],[Lesson 4
Date 
(DD-MMM-YYYY)]])</f>
        <v>7</v>
      </c>
      <c r="BB7" s="65"/>
      <c r="BC7" s="66"/>
      <c r="BD7" s="66"/>
      <c r="BE7" s="63"/>
      <c r="BF7" s="165">
        <f>WEEKDAY(Sheet_1_Table_1_134[[#This Row],[Lesson 5
Date 
(DD-MMM-YYYY)]])</f>
        <v>7</v>
      </c>
      <c r="BG7" s="65"/>
      <c r="BH7" s="66"/>
      <c r="BI7" s="67"/>
      <c r="BJ7" s="68"/>
      <c r="BK7" s="165">
        <f>WEEKDAY(Sheet_1_Table_1_134[[#This Row],[Lesson 6
Date 
(DD-MMM-YYYY)]])</f>
        <v>7</v>
      </c>
      <c r="BL7" s="65"/>
      <c r="BM7" s="66"/>
      <c r="BN7" s="66"/>
      <c r="BO7" s="54"/>
      <c r="BP7" s="69"/>
      <c r="BQ7" s="56"/>
      <c r="BR7" s="57" t="s">
        <v>469</v>
      </c>
      <c r="BS7" s="52"/>
      <c r="BT7" s="56"/>
      <c r="BU7" s="56"/>
      <c r="BV7" s="70"/>
      <c r="BW7" s="60"/>
      <c r="BX7" s="71"/>
      <c r="BY7" s="56"/>
      <c r="BZ7" s="56"/>
      <c r="CA7" s="56"/>
      <c r="CB7" s="72"/>
      <c r="CC7" s="72"/>
      <c r="CD7" s="71"/>
      <c r="CE7" s="60" t="s">
        <v>440</v>
      </c>
      <c r="CF7" s="71" t="s">
        <v>441</v>
      </c>
      <c r="CG7" s="56" t="s">
        <v>442</v>
      </c>
      <c r="CH7" s="57" t="s">
        <v>443</v>
      </c>
      <c r="CI7" s="52"/>
      <c r="CJ7" s="52"/>
      <c r="CK7" s="52"/>
      <c r="CL7" s="52"/>
      <c r="CM7" s="52"/>
      <c r="CN7" s="52"/>
      <c r="CO7" s="52"/>
      <c r="CP7" s="52"/>
      <c r="CQ7" s="52"/>
      <c r="CR7" s="52"/>
      <c r="CS7" s="52"/>
      <c r="CT7" s="52"/>
      <c r="CU7" s="52"/>
      <c r="CV7" s="52"/>
      <c r="CW7" s="52"/>
      <c r="CX7" s="52"/>
      <c r="CY7" s="52"/>
      <c r="CZ7" s="59"/>
      <c r="DA7" s="54"/>
      <c r="DB7" s="50"/>
      <c r="DC7" s="50"/>
      <c r="DD7" s="50"/>
      <c r="DE7" s="50"/>
      <c r="DF7" s="50"/>
      <c r="DG7" s="73"/>
      <c r="DH7" s="73"/>
      <c r="DI7" s="74"/>
      <c r="DJ7" s="75"/>
      <c r="DK7" s="76" t="s">
        <v>146</v>
      </c>
      <c r="DL7" s="76" t="s">
        <v>146</v>
      </c>
      <c r="DM7" s="76" t="s">
        <v>146</v>
      </c>
      <c r="DN7" s="790"/>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7</v>
      </c>
      <c r="B8" s="49">
        <v>202609</v>
      </c>
      <c r="C8" s="50" t="s">
        <v>470</v>
      </c>
      <c r="D8" s="50" t="s">
        <v>133</v>
      </c>
      <c r="E8" s="51">
        <v>5888</v>
      </c>
      <c r="F8" s="461" t="s">
        <v>134</v>
      </c>
      <c r="G8" s="462" t="s">
        <v>427</v>
      </c>
      <c r="H8" s="550" t="s">
        <v>428</v>
      </c>
      <c r="I8" s="647" t="s">
        <v>429</v>
      </c>
      <c r="J8" s="763" t="s">
        <v>471</v>
      </c>
      <c r="K8" s="764" t="s">
        <v>472</v>
      </c>
      <c r="L8" s="462" t="s">
        <v>473</v>
      </c>
      <c r="M8" s="652" t="s">
        <v>474</v>
      </c>
      <c r="N8" s="647" t="s">
        <v>475</v>
      </c>
      <c r="O8" s="220" t="s">
        <v>142</v>
      </c>
      <c r="P8" s="221" t="s">
        <v>142</v>
      </c>
      <c r="Q8" s="60" t="s">
        <v>434</v>
      </c>
      <c r="R8" s="194" t="str">
        <f>VLOOKUP(Sheet_1_Table_1_134[[#This Row],[Learning Domain]],[1]List!$A$7:$B$12,2,0)</f>
        <v>IED</v>
      </c>
      <c r="S8" s="52">
        <v>30</v>
      </c>
      <c r="T8" s="55">
        <v>0</v>
      </c>
      <c r="U8" s="55">
        <v>0</v>
      </c>
      <c r="V8" s="55">
        <v>0</v>
      </c>
      <c r="W8" s="55">
        <v>70</v>
      </c>
      <c r="X8" s="55">
        <v>0</v>
      </c>
      <c r="Y8" s="55">
        <v>0</v>
      </c>
      <c r="Z8" s="55">
        <v>0</v>
      </c>
      <c r="AA8" s="55">
        <v>0</v>
      </c>
      <c r="AB8" s="53">
        <f>SUM(Sheet_1_Table_1_134[[#This Row],[Leadership LS]:[Career Development  CR]])</f>
        <v>100</v>
      </c>
      <c r="AC8" s="52" t="s">
        <v>144</v>
      </c>
      <c r="AD8" s="174" t="s">
        <v>190</v>
      </c>
      <c r="AE8" s="55" t="s">
        <v>146</v>
      </c>
      <c r="AF8" s="55" t="s">
        <v>142</v>
      </c>
      <c r="AG8" s="55" t="s">
        <v>142</v>
      </c>
      <c r="AH8" s="174">
        <v>1.5</v>
      </c>
      <c r="AI8" s="174">
        <v>25</v>
      </c>
      <c r="AJ8" s="62">
        <f>Sheet_1_Table_1_134[[#This Row],[ILP Units Per Session]]*Sheet_1_Table_1_134[[#This Row],[Quota]]</f>
        <v>37.5</v>
      </c>
      <c r="AK8" s="63">
        <v>46288</v>
      </c>
      <c r="AL8" s="64">
        <f>WEEKDAY(Sheet_1_Table_1_134[[#This Row],[Lesson 1 
Date 
(DD-MMM-YYYY)]])</f>
        <v>4</v>
      </c>
      <c r="AM8" s="65">
        <v>0.79166666666666663</v>
      </c>
      <c r="AN8" s="66">
        <v>0.875</v>
      </c>
      <c r="AO8" s="183" t="s">
        <v>476</v>
      </c>
      <c r="AP8" s="68"/>
      <c r="AQ8" s="64">
        <f>WEEKDAY(Sheet_1_Table_1_134[[#This Row],[Lesson 2
Date 
(DD-MMM-YYYY)]])</f>
        <v>7</v>
      </c>
      <c r="AR8" s="65"/>
      <c r="AS8" s="66"/>
      <c r="AT8" s="66"/>
      <c r="AU8" s="63"/>
      <c r="AV8" s="165">
        <f>WEEKDAY(Sheet_1_Table_1_134[[#This Row],[Lesson 3
Date 
(DD-MMM-YYYY)]])</f>
        <v>7</v>
      </c>
      <c r="AW8" s="65"/>
      <c r="AX8" s="66"/>
      <c r="AY8" s="67"/>
      <c r="AZ8" s="68"/>
      <c r="BA8" s="64">
        <f>WEEKDAY(Sheet_1_Table_1_134[[#This Row],[Lesson 4
Date 
(DD-MMM-YYYY)]])</f>
        <v>7</v>
      </c>
      <c r="BB8" s="65"/>
      <c r="BC8" s="66"/>
      <c r="BD8" s="66"/>
      <c r="BE8" s="63"/>
      <c r="BF8" s="165">
        <f>WEEKDAY(Sheet_1_Table_1_134[[#This Row],[Lesson 5
Date 
(DD-MMM-YYYY)]])</f>
        <v>7</v>
      </c>
      <c r="BG8" s="65"/>
      <c r="BH8" s="66"/>
      <c r="BI8" s="67"/>
      <c r="BJ8" s="68"/>
      <c r="BK8" s="165">
        <f>WEEKDAY(Sheet_1_Table_1_134[[#This Row],[Lesson 6
Date 
(DD-MMM-YYYY)]])</f>
        <v>7</v>
      </c>
      <c r="BL8" s="65"/>
      <c r="BM8" s="66"/>
      <c r="BN8" s="66"/>
      <c r="BO8" s="54"/>
      <c r="BP8" s="69" t="s">
        <v>477</v>
      </c>
      <c r="BQ8" s="56"/>
      <c r="BR8" s="57"/>
      <c r="BS8" s="52"/>
      <c r="BT8" s="56"/>
      <c r="BU8" s="56"/>
      <c r="BV8" s="70"/>
      <c r="BW8" s="60"/>
      <c r="BX8" s="71"/>
      <c r="BY8" s="56"/>
      <c r="BZ8" s="56"/>
      <c r="CA8" s="56"/>
      <c r="CB8" s="72"/>
      <c r="CC8" s="72"/>
      <c r="CD8" s="71"/>
      <c r="CE8" s="60" t="s">
        <v>440</v>
      </c>
      <c r="CF8" s="71" t="s">
        <v>441</v>
      </c>
      <c r="CG8" s="56" t="s">
        <v>478</v>
      </c>
      <c r="CH8" s="57" t="s">
        <v>479</v>
      </c>
      <c r="CI8" s="52" t="s">
        <v>142</v>
      </c>
      <c r="CJ8" s="52" t="s">
        <v>142</v>
      </c>
      <c r="CK8" s="52" t="s">
        <v>142</v>
      </c>
      <c r="CL8" s="52" t="s">
        <v>142</v>
      </c>
      <c r="CM8" s="52" t="s">
        <v>146</v>
      </c>
      <c r="CN8" s="52" t="s">
        <v>146</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N8" s="790"/>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8</v>
      </c>
      <c r="B9" s="49">
        <v>202609</v>
      </c>
      <c r="C9" s="50" t="s">
        <v>480</v>
      </c>
      <c r="D9" s="50" t="s">
        <v>251</v>
      </c>
      <c r="E9" s="51">
        <v>5919</v>
      </c>
      <c r="F9" s="461" t="s">
        <v>134</v>
      </c>
      <c r="G9" s="462" t="s">
        <v>427</v>
      </c>
      <c r="H9" s="80" t="s">
        <v>428</v>
      </c>
      <c r="I9" s="70" t="s">
        <v>481</v>
      </c>
      <c r="J9" s="224"/>
      <c r="K9" s="141" t="s">
        <v>482</v>
      </c>
      <c r="L9" s="53"/>
      <c r="M9" s="72" t="s">
        <v>483</v>
      </c>
      <c r="N9" s="70" t="s">
        <v>484</v>
      </c>
      <c r="O9" s="192" t="s">
        <v>146</v>
      </c>
      <c r="P9" s="193" t="s">
        <v>146</v>
      </c>
      <c r="Q9" s="60" t="s">
        <v>434</v>
      </c>
      <c r="R9" s="194" t="str">
        <f>VLOOKUP(Sheet_1_Table_1_134[[#This Row],[Learning Domain]],[1]List!$A$7:$B$12,2,0)</f>
        <v>IED</v>
      </c>
      <c r="S9" s="52">
        <v>30</v>
      </c>
      <c r="T9" s="55">
        <v>0</v>
      </c>
      <c r="U9" s="55">
        <v>0</v>
      </c>
      <c r="V9" s="55">
        <v>0</v>
      </c>
      <c r="W9" s="55">
        <v>0</v>
      </c>
      <c r="X9" s="55">
        <v>0</v>
      </c>
      <c r="Y9" s="55">
        <v>0</v>
      </c>
      <c r="Z9" s="55">
        <v>0</v>
      </c>
      <c r="AA9" s="55">
        <v>70</v>
      </c>
      <c r="AB9" s="53">
        <f>SUM(Sheet_1_Table_1_134[[#This Row],[Leadership LS]:[Career Development  CR]])</f>
        <v>100</v>
      </c>
      <c r="AC9" s="52" t="s">
        <v>199</v>
      </c>
      <c r="AD9" s="55" t="s">
        <v>190</v>
      </c>
      <c r="AE9" s="55" t="s">
        <v>142</v>
      </c>
      <c r="AF9" s="55" t="s">
        <v>146</v>
      </c>
      <c r="AG9" s="55" t="s">
        <v>142</v>
      </c>
      <c r="AH9" s="55">
        <v>3</v>
      </c>
      <c r="AI9" s="55">
        <v>40</v>
      </c>
      <c r="AJ9" s="62">
        <f>Sheet_1_Table_1_134[[#This Row],[ILP Units Per Session]]*Sheet_1_Table_1_134[[#This Row],[Quota]]</f>
        <v>120</v>
      </c>
      <c r="AK9" s="63">
        <v>46288</v>
      </c>
      <c r="AL9" s="64">
        <f>WEEKDAY(Sheet_1_Table_1_134[[#This Row],[Lesson 1 
Date 
(DD-MMM-YYYY)]])</f>
        <v>4</v>
      </c>
      <c r="AM9" s="65">
        <v>0.60416666666666663</v>
      </c>
      <c r="AN9" s="66">
        <v>0.72916666666666663</v>
      </c>
      <c r="AO9" s="206" t="s">
        <v>2232</v>
      </c>
      <c r="AP9" s="68"/>
      <c r="AQ9" s="64">
        <f>WEEKDAY(Sheet_1_Table_1_134[[#This Row],[Lesson 2
Date 
(DD-MMM-YYYY)]])</f>
        <v>7</v>
      </c>
      <c r="AR9" s="65"/>
      <c r="AS9" s="66"/>
      <c r="AT9" s="66"/>
      <c r="AU9" s="63"/>
      <c r="AV9" s="165">
        <f>WEEKDAY(Sheet_1_Table_1_134[[#This Row],[Lesson 3
Date 
(DD-MMM-YYYY)]])</f>
        <v>7</v>
      </c>
      <c r="AW9" s="65"/>
      <c r="AX9" s="66"/>
      <c r="AY9" s="67"/>
      <c r="AZ9" s="68"/>
      <c r="BA9" s="64">
        <f>WEEKDAY(Sheet_1_Table_1_134[[#This Row],[Lesson 4
Date 
(DD-MMM-YYYY)]])</f>
        <v>7</v>
      </c>
      <c r="BB9" s="65"/>
      <c r="BC9" s="66"/>
      <c r="BD9" s="66"/>
      <c r="BE9" s="63"/>
      <c r="BF9" s="165">
        <f>WEEKDAY(Sheet_1_Table_1_134[[#This Row],[Lesson 5
Date 
(DD-MMM-YYYY)]])</f>
        <v>7</v>
      </c>
      <c r="BG9" s="65"/>
      <c r="BH9" s="66"/>
      <c r="BI9" s="67"/>
      <c r="BJ9" s="68"/>
      <c r="BK9" s="165">
        <f>WEEKDAY(Sheet_1_Table_1_134[[#This Row],[Lesson 6
Date 
(DD-MMM-YYYY)]])</f>
        <v>7</v>
      </c>
      <c r="BL9" s="65"/>
      <c r="BM9" s="66"/>
      <c r="BN9" s="66"/>
      <c r="BO9" s="54" t="s">
        <v>163</v>
      </c>
      <c r="BP9" s="69" t="s">
        <v>486</v>
      </c>
      <c r="BQ9" s="56" t="s">
        <v>487</v>
      </c>
      <c r="BR9" s="57" t="s">
        <v>488</v>
      </c>
      <c r="BS9" s="52" t="s">
        <v>163</v>
      </c>
      <c r="BT9" s="56" t="s">
        <v>489</v>
      </c>
      <c r="BU9" s="56" t="s">
        <v>490</v>
      </c>
      <c r="BV9" s="70" t="s">
        <v>491</v>
      </c>
      <c r="BW9" s="60"/>
      <c r="BX9" s="71"/>
      <c r="BY9" s="56"/>
      <c r="BZ9" s="56"/>
      <c r="CA9" s="56"/>
      <c r="CB9" s="72"/>
      <c r="CC9" s="72"/>
      <c r="CD9" s="71"/>
      <c r="CE9" s="60" t="s">
        <v>492</v>
      </c>
      <c r="CF9" s="71" t="s">
        <v>493</v>
      </c>
      <c r="CG9" s="56" t="s">
        <v>494</v>
      </c>
      <c r="CH9" s="291" t="s">
        <v>495</v>
      </c>
      <c r="CI9" s="52" t="s">
        <v>142</v>
      </c>
      <c r="CJ9" s="52" t="s">
        <v>142</v>
      </c>
      <c r="CK9" s="52" t="s">
        <v>142</v>
      </c>
      <c r="CL9" s="52" t="s">
        <v>142</v>
      </c>
      <c r="CM9" s="52" t="s">
        <v>142</v>
      </c>
      <c r="CN9" s="52" t="s">
        <v>142</v>
      </c>
      <c r="CO9" s="52" t="s">
        <v>142</v>
      </c>
      <c r="CP9" s="52" t="s">
        <v>142</v>
      </c>
      <c r="CQ9" s="52" t="s">
        <v>146</v>
      </c>
      <c r="CR9" s="52" t="s">
        <v>146</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N9" s="790" t="s">
        <v>2234</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9</v>
      </c>
      <c r="B10" s="49">
        <v>202609</v>
      </c>
      <c r="C10" s="50" t="s">
        <v>496</v>
      </c>
      <c r="D10" s="50" t="s">
        <v>251</v>
      </c>
      <c r="E10" s="51">
        <v>5918</v>
      </c>
      <c r="F10" s="461" t="s">
        <v>134</v>
      </c>
      <c r="G10" s="462" t="s">
        <v>427</v>
      </c>
      <c r="H10" s="297" t="s">
        <v>497</v>
      </c>
      <c r="I10" s="301" t="s">
        <v>498</v>
      </c>
      <c r="J10" s="224" t="s">
        <v>499</v>
      </c>
      <c r="K10" s="141" t="s">
        <v>500</v>
      </c>
      <c r="L10" s="53"/>
      <c r="M10" s="72" t="s">
        <v>501</v>
      </c>
      <c r="N10" s="70" t="s">
        <v>502</v>
      </c>
      <c r="O10" s="192" t="s">
        <v>146</v>
      </c>
      <c r="P10" s="193" t="s">
        <v>146</v>
      </c>
      <c r="Q10" s="60" t="s">
        <v>434</v>
      </c>
      <c r="R10" s="200" t="str">
        <f>VLOOKUP(Sheet_1_Table_1_134[[#This Row],[Learning Domain]],[1]List!$A$7:$B$12,2,0)</f>
        <v>IED</v>
      </c>
      <c r="S10" s="52">
        <v>30</v>
      </c>
      <c r="T10" s="55">
        <v>0</v>
      </c>
      <c r="U10" s="55">
        <v>0</v>
      </c>
      <c r="V10" s="55">
        <v>0</v>
      </c>
      <c r="W10" s="55">
        <v>0</v>
      </c>
      <c r="X10" s="55">
        <v>0</v>
      </c>
      <c r="Y10" s="55">
        <v>0</v>
      </c>
      <c r="Z10" s="55">
        <v>0</v>
      </c>
      <c r="AA10" s="55">
        <v>70</v>
      </c>
      <c r="AB10" s="53">
        <f>SUM(Sheet_1_Table_1_134[[#This Row],[Leadership LS]:[Career Development  CR]])</f>
        <v>100</v>
      </c>
      <c r="AC10" s="52" t="s">
        <v>199</v>
      </c>
      <c r="AD10" s="55" t="s">
        <v>190</v>
      </c>
      <c r="AE10" s="55" t="s">
        <v>142</v>
      </c>
      <c r="AF10" s="55" t="s">
        <v>146</v>
      </c>
      <c r="AG10" s="55" t="s">
        <v>142</v>
      </c>
      <c r="AH10" s="55">
        <v>2</v>
      </c>
      <c r="AI10" s="55">
        <v>30</v>
      </c>
      <c r="AJ10" s="62">
        <f>Sheet_1_Table_1_134[[#This Row],[ILP Units Per Session]]*Sheet_1_Table_1_134[[#This Row],[Quota]]</f>
        <v>60</v>
      </c>
      <c r="AK10" s="63">
        <v>46289</v>
      </c>
      <c r="AL10" s="64">
        <f>WEEKDAY(Sheet_1_Table_1_134[[#This Row],[Lesson 1 
Date 
(DD-MMM-YYYY)]])</f>
        <v>5</v>
      </c>
      <c r="AM10" s="181">
        <v>0.64583333333333337</v>
      </c>
      <c r="AN10" s="182">
        <v>0.72916666666666663</v>
      </c>
      <c r="AO10" s="183" t="s">
        <v>147</v>
      </c>
      <c r="AP10" s="68"/>
      <c r="AQ10" s="64">
        <f>WEEKDAY(Sheet_1_Table_1_134[[#This Row],[Lesson 2
Date 
(DD-MMM-YYYY)]])</f>
        <v>7</v>
      </c>
      <c r="AR10" s="65"/>
      <c r="AS10" s="66"/>
      <c r="AT10" s="66"/>
      <c r="AU10" s="63"/>
      <c r="AV10" s="64">
        <f>WEEKDAY(Sheet_1_Table_1_134[[#This Row],[Lesson 3
Date 
(DD-MMM-YYYY)]])</f>
        <v>7</v>
      </c>
      <c r="AW10" s="65"/>
      <c r="AX10" s="66"/>
      <c r="AY10" s="67"/>
      <c r="AZ10" s="68"/>
      <c r="BA10" s="64">
        <f>WEEKDAY(Sheet_1_Table_1_134[[#This Row],[Lesson 4
Date 
(DD-MMM-YYYY)]])</f>
        <v>7</v>
      </c>
      <c r="BB10" s="65"/>
      <c r="BC10" s="66"/>
      <c r="BD10" s="66"/>
      <c r="BE10" s="63"/>
      <c r="BF10" s="64">
        <f>WEEKDAY(Sheet_1_Table_1_134[[#This Row],[Lesson 5
Date 
(DD-MMM-YYYY)]])</f>
        <v>7</v>
      </c>
      <c r="BG10" s="65"/>
      <c r="BH10" s="66"/>
      <c r="BI10" s="67"/>
      <c r="BJ10" s="68"/>
      <c r="BK10" s="64">
        <f>WEEKDAY(Sheet_1_Table_1_134[[#This Row],[Lesson 6
Date 
(DD-MMM-YYYY)]])</f>
        <v>7</v>
      </c>
      <c r="BL10" s="65"/>
      <c r="BM10" s="66"/>
      <c r="BN10" s="66"/>
      <c r="BO10" s="54" t="s">
        <v>293</v>
      </c>
      <c r="BP10" s="69" t="s">
        <v>503</v>
      </c>
      <c r="BQ10" s="56" t="s">
        <v>504</v>
      </c>
      <c r="BR10" s="57" t="s">
        <v>505</v>
      </c>
      <c r="BS10" s="52"/>
      <c r="BT10" s="56"/>
      <c r="BU10" s="56"/>
      <c r="BV10" s="70"/>
      <c r="BW10" s="60"/>
      <c r="BX10" s="71"/>
      <c r="BY10" s="56"/>
      <c r="BZ10" s="56"/>
      <c r="CA10" s="56"/>
      <c r="CB10" s="72"/>
      <c r="CC10" s="72"/>
      <c r="CD10" s="71"/>
      <c r="CE10" s="60" t="s">
        <v>440</v>
      </c>
      <c r="CF10" s="71" t="s">
        <v>441</v>
      </c>
      <c r="CG10" s="56" t="s">
        <v>494</v>
      </c>
      <c r="CH10" s="291" t="s">
        <v>495</v>
      </c>
      <c r="CI10" s="52" t="s">
        <v>142</v>
      </c>
      <c r="CJ10" s="52" t="s">
        <v>142</v>
      </c>
      <c r="CK10" s="52" t="s">
        <v>142</v>
      </c>
      <c r="CL10" s="52" t="s">
        <v>142</v>
      </c>
      <c r="CM10" s="52" t="s">
        <v>142</v>
      </c>
      <c r="CN10" s="52" t="s">
        <v>142</v>
      </c>
      <c r="CO10" s="52" t="s">
        <v>142</v>
      </c>
      <c r="CP10" s="52" t="s">
        <v>142</v>
      </c>
      <c r="CQ10" s="52" t="s">
        <v>146</v>
      </c>
      <c r="CR10" s="52" t="s">
        <v>146</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N10" s="790"/>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10</v>
      </c>
      <c r="B11" s="49">
        <v>202609</v>
      </c>
      <c r="C11" s="50" t="s">
        <v>506</v>
      </c>
      <c r="D11" s="50" t="s">
        <v>251</v>
      </c>
      <c r="E11" s="51">
        <v>5871</v>
      </c>
      <c r="F11" s="461" t="s">
        <v>134</v>
      </c>
      <c r="G11" s="462" t="s">
        <v>427</v>
      </c>
      <c r="H11" s="191" t="s">
        <v>428</v>
      </c>
      <c r="I11" s="647" t="s">
        <v>429</v>
      </c>
      <c r="J11" s="763" t="s">
        <v>507</v>
      </c>
      <c r="K11" s="764" t="s">
        <v>508</v>
      </c>
      <c r="L11" s="462"/>
      <c r="M11" s="652" t="s">
        <v>509</v>
      </c>
      <c r="N11" s="647" t="s">
        <v>510</v>
      </c>
      <c r="O11" s="192" t="s">
        <v>146</v>
      </c>
      <c r="P11" s="193" t="s">
        <v>146</v>
      </c>
      <c r="Q11" s="60" t="s">
        <v>434</v>
      </c>
      <c r="R11" s="194" t="str">
        <f>VLOOKUP(Sheet_1_Table_1_134[[#This Row],[Learning Domain]],[1]List!$A$7:$B$12,2,0)</f>
        <v>IED</v>
      </c>
      <c r="S11" s="461">
        <v>0</v>
      </c>
      <c r="T11" s="634">
        <v>0</v>
      </c>
      <c r="U11" s="634">
        <v>0</v>
      </c>
      <c r="V11" s="634">
        <v>0</v>
      </c>
      <c r="W11" s="634">
        <v>0</v>
      </c>
      <c r="X11" s="634">
        <v>0</v>
      </c>
      <c r="Y11" s="634">
        <v>0</v>
      </c>
      <c r="Z11" s="634">
        <v>0</v>
      </c>
      <c r="AA11" s="634">
        <v>100</v>
      </c>
      <c r="AB11" s="53">
        <f>SUM(Sheet_1_Table_1_134[[#This Row],[Leadership LS]:[Career Development  CR]])</f>
        <v>100</v>
      </c>
      <c r="AC11" s="52" t="s">
        <v>199</v>
      </c>
      <c r="AD11" s="55" t="s">
        <v>386</v>
      </c>
      <c r="AE11" s="55" t="s">
        <v>142</v>
      </c>
      <c r="AF11" s="55" t="s">
        <v>146</v>
      </c>
      <c r="AG11" s="55" t="s">
        <v>142</v>
      </c>
      <c r="AH11" s="55">
        <v>2</v>
      </c>
      <c r="AI11" s="55">
        <v>100</v>
      </c>
      <c r="AJ11" s="62">
        <f>Sheet_1_Table_1_134[[#This Row],[ILP Units Per Session]]*Sheet_1_Table_1_134[[#This Row],[Quota]]</f>
        <v>200</v>
      </c>
      <c r="AK11" s="63">
        <v>46293</v>
      </c>
      <c r="AL11" s="64">
        <f>WEEKDAY(Sheet_1_Table_1_134[[#This Row],[Lesson 1 
Date 
(DD-MMM-YYYY)]])</f>
        <v>2</v>
      </c>
      <c r="AM11" s="65">
        <v>0.6875</v>
      </c>
      <c r="AN11" s="66">
        <v>0.77083333333333337</v>
      </c>
      <c r="AO11" s="67" t="s">
        <v>182</v>
      </c>
      <c r="AP11" s="68"/>
      <c r="AQ11" s="64">
        <f>WEEKDAY(Sheet_1_Table_1_134[[#This Row],[Lesson 2
Date 
(DD-MMM-YYYY)]])</f>
        <v>7</v>
      </c>
      <c r="AR11" s="65"/>
      <c r="AS11" s="66"/>
      <c r="AT11" s="66"/>
      <c r="AU11" s="63"/>
      <c r="AV11" s="64">
        <f>WEEKDAY(Sheet_1_Table_1_134[[#This Row],[Lesson 3
Date 
(DD-MMM-YYYY)]])</f>
        <v>7</v>
      </c>
      <c r="AW11" s="65"/>
      <c r="AX11" s="66"/>
      <c r="AY11" s="67"/>
      <c r="AZ11" s="68"/>
      <c r="BA11" s="64">
        <f>WEEKDAY(Sheet_1_Table_1_134[[#This Row],[Lesson 4
Date 
(DD-MMM-YYYY)]])</f>
        <v>7</v>
      </c>
      <c r="BB11" s="65"/>
      <c r="BC11" s="66"/>
      <c r="BD11" s="66"/>
      <c r="BE11" s="63"/>
      <c r="BF11" s="64">
        <f>WEEKDAY(Sheet_1_Table_1_134[[#This Row],[Lesson 5
Date 
(DD-MMM-YYYY)]])</f>
        <v>7</v>
      </c>
      <c r="BG11" s="65"/>
      <c r="BH11" s="66"/>
      <c r="BI11" s="67"/>
      <c r="BJ11" s="68"/>
      <c r="BK11" s="64">
        <f>WEEKDAY(Sheet_1_Table_1_134[[#This Row],[Lesson 6
Date 
(DD-MMM-YYYY)]])</f>
        <v>7</v>
      </c>
      <c r="BL11" s="65"/>
      <c r="BM11" s="66"/>
      <c r="BN11" s="66"/>
      <c r="BO11" s="54" t="s">
        <v>293</v>
      </c>
      <c r="BP11" s="69" t="s">
        <v>435</v>
      </c>
      <c r="BQ11" s="56" t="s">
        <v>436</v>
      </c>
      <c r="BR11" s="57" t="s">
        <v>437</v>
      </c>
      <c r="BS11" s="52"/>
      <c r="BT11" s="56"/>
      <c r="BU11" s="56"/>
      <c r="BV11" s="70"/>
      <c r="BW11" s="60"/>
      <c r="BX11" s="71"/>
      <c r="BY11" s="56" t="s">
        <v>184</v>
      </c>
      <c r="BZ11" s="56"/>
      <c r="CA11" s="56" t="s">
        <v>184</v>
      </c>
      <c r="CB11" s="195" t="s">
        <v>511</v>
      </c>
      <c r="CC11" s="195" t="s">
        <v>512</v>
      </c>
      <c r="CD11" s="196">
        <v>22561039</v>
      </c>
      <c r="CE11" s="60" t="s">
        <v>440</v>
      </c>
      <c r="CF11" s="71" t="s">
        <v>441</v>
      </c>
      <c r="CG11" s="56" t="s">
        <v>442</v>
      </c>
      <c r="CH11" s="57" t="s">
        <v>443</v>
      </c>
      <c r="CI11" s="52" t="s">
        <v>146</v>
      </c>
      <c r="CJ11" s="52" t="s">
        <v>142</v>
      </c>
      <c r="CK11" s="52" t="s">
        <v>142</v>
      </c>
      <c r="CL11" s="52" t="s">
        <v>142</v>
      </c>
      <c r="CM11" s="52" t="s">
        <v>142</v>
      </c>
      <c r="CN11" s="52" t="s">
        <v>142</v>
      </c>
      <c r="CO11" s="52" t="s">
        <v>142</v>
      </c>
      <c r="CP11" s="52" t="s">
        <v>142</v>
      </c>
      <c r="CQ11" s="52" t="s">
        <v>146</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N11" s="790"/>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11</v>
      </c>
      <c r="B12" s="49">
        <v>202609</v>
      </c>
      <c r="C12" s="50" t="s">
        <v>513</v>
      </c>
      <c r="D12" s="50" t="s">
        <v>174</v>
      </c>
      <c r="E12" s="51">
        <v>5880</v>
      </c>
      <c r="F12" s="461" t="s">
        <v>134</v>
      </c>
      <c r="G12" s="462" t="s">
        <v>427</v>
      </c>
      <c r="H12" s="461" t="s">
        <v>514</v>
      </c>
      <c r="I12" s="647" t="s">
        <v>515</v>
      </c>
      <c r="J12" s="763" t="s">
        <v>516</v>
      </c>
      <c r="K12" s="764" t="s">
        <v>517</v>
      </c>
      <c r="L12" s="462"/>
      <c r="M12" s="652" t="s">
        <v>518</v>
      </c>
      <c r="N12" s="647" t="s">
        <v>519</v>
      </c>
      <c r="O12" s="192" t="s">
        <v>146</v>
      </c>
      <c r="P12" s="193" t="s">
        <v>146</v>
      </c>
      <c r="Q12" s="60" t="s">
        <v>434</v>
      </c>
      <c r="R12" s="200" t="str">
        <f>VLOOKUP(Sheet_1_Table_1_134[[#This Row],[Learning Domain]],[1]List!$A$7:$B$12,2,0)</f>
        <v>IED</v>
      </c>
      <c r="S12" s="461">
        <v>0</v>
      </c>
      <c r="T12" s="634">
        <v>0</v>
      </c>
      <c r="U12" s="634">
        <v>0</v>
      </c>
      <c r="V12" s="634">
        <v>0</v>
      </c>
      <c r="W12" s="634">
        <v>0</v>
      </c>
      <c r="X12" s="634">
        <v>0</v>
      </c>
      <c r="Y12" s="634">
        <v>50</v>
      </c>
      <c r="Z12" s="634">
        <v>0</v>
      </c>
      <c r="AA12" s="634">
        <v>50</v>
      </c>
      <c r="AB12" s="53">
        <f>SUM(Sheet_1_Table_1_134[[#This Row],[Leadership LS]:[Career Development  CR]])</f>
        <v>100</v>
      </c>
      <c r="AC12" s="52" t="s">
        <v>144</v>
      </c>
      <c r="AD12" s="55" t="s">
        <v>386</v>
      </c>
      <c r="AE12" s="55" t="s">
        <v>142</v>
      </c>
      <c r="AF12" s="55" t="s">
        <v>146</v>
      </c>
      <c r="AG12" s="55" t="s">
        <v>142</v>
      </c>
      <c r="AH12" s="55">
        <v>2</v>
      </c>
      <c r="AI12" s="55">
        <v>100</v>
      </c>
      <c r="AJ12" s="62">
        <f>Sheet_1_Table_1_134[[#This Row],[ILP Units Per Session]]*Sheet_1_Table_1_134[[#This Row],[Quota]]</f>
        <v>200</v>
      </c>
      <c r="AK12" s="63">
        <v>46297</v>
      </c>
      <c r="AL12" s="64">
        <f>WEEKDAY(Sheet_1_Table_1_134[[#This Row],[Lesson 1 
Date 
(DD-MMM-YYYY)]])</f>
        <v>6</v>
      </c>
      <c r="AM12" s="65">
        <v>0.66666666666666663</v>
      </c>
      <c r="AN12" s="66">
        <v>0.75</v>
      </c>
      <c r="AO12" s="67" t="s">
        <v>182</v>
      </c>
      <c r="AP12" s="68"/>
      <c r="AQ12" s="64">
        <f>WEEKDAY(Sheet_1_Table_1_134[[#This Row],[Lesson 2
Date 
(DD-MMM-YYYY)]])</f>
        <v>7</v>
      </c>
      <c r="AR12" s="65"/>
      <c r="AS12" s="66"/>
      <c r="AT12" s="66"/>
      <c r="AU12" s="63"/>
      <c r="AV12" s="64">
        <f>WEEKDAY(Sheet_1_Table_1_134[[#This Row],[Lesson 3
Date 
(DD-MMM-YYYY)]])</f>
        <v>7</v>
      </c>
      <c r="AW12" s="65"/>
      <c r="AX12" s="66"/>
      <c r="AY12" s="67"/>
      <c r="AZ12" s="68"/>
      <c r="BA12" s="64">
        <f>WEEKDAY(Sheet_1_Table_1_134[[#This Row],[Lesson 4
Date 
(DD-MMM-YYYY)]])</f>
        <v>7</v>
      </c>
      <c r="BB12" s="65"/>
      <c r="BC12" s="66"/>
      <c r="BD12" s="66"/>
      <c r="BE12" s="63"/>
      <c r="BF12" s="64">
        <f>WEEKDAY(Sheet_1_Table_1_134[[#This Row],[Lesson 5
Date 
(DD-MMM-YYYY)]])</f>
        <v>7</v>
      </c>
      <c r="BG12" s="65"/>
      <c r="BH12" s="66"/>
      <c r="BI12" s="67"/>
      <c r="BJ12" s="68"/>
      <c r="BK12" s="64">
        <f>WEEKDAY(Sheet_1_Table_1_134[[#This Row],[Lesson 6
Date 
(DD-MMM-YYYY)]])</f>
        <v>7</v>
      </c>
      <c r="BL12" s="65"/>
      <c r="BM12" s="66"/>
      <c r="BN12" s="66"/>
      <c r="BO12" s="54" t="s">
        <v>163</v>
      </c>
      <c r="BP12" s="69" t="s">
        <v>520</v>
      </c>
      <c r="BQ12" s="56" t="s">
        <v>422</v>
      </c>
      <c r="BR12" s="57" t="s">
        <v>521</v>
      </c>
      <c r="BS12" s="52"/>
      <c r="BT12" s="56"/>
      <c r="BU12" s="56"/>
      <c r="BV12" s="70"/>
      <c r="BW12" s="60"/>
      <c r="BX12" s="71"/>
      <c r="BY12" s="56"/>
      <c r="BZ12" s="56"/>
      <c r="CA12" s="56"/>
      <c r="CB12" s="195" t="s">
        <v>522</v>
      </c>
      <c r="CC12" s="195" t="s">
        <v>523</v>
      </c>
      <c r="CD12" s="196">
        <v>28136854</v>
      </c>
      <c r="CE12" s="60" t="s">
        <v>440</v>
      </c>
      <c r="CF12" s="71" t="s">
        <v>441</v>
      </c>
      <c r="CG12" s="56" t="s">
        <v>442</v>
      </c>
      <c r="CH12" s="57" t="s">
        <v>443</v>
      </c>
      <c r="CI12" s="52" t="s">
        <v>146</v>
      </c>
      <c r="CJ12" s="52" t="s">
        <v>142</v>
      </c>
      <c r="CK12" s="52" t="s">
        <v>142</v>
      </c>
      <c r="CL12" s="52" t="s">
        <v>142</v>
      </c>
      <c r="CM12" s="52" t="s">
        <v>142</v>
      </c>
      <c r="CN12" s="52" t="s">
        <v>142</v>
      </c>
      <c r="CO12" s="52" t="s">
        <v>142</v>
      </c>
      <c r="CP12" s="52" t="s">
        <v>142</v>
      </c>
      <c r="CQ12" s="52" t="s">
        <v>146</v>
      </c>
      <c r="CR12" s="52" t="s">
        <v>146</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N12" s="790"/>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12</v>
      </c>
      <c r="B13" s="49">
        <v>202609</v>
      </c>
      <c r="C13" s="50" t="s">
        <v>524</v>
      </c>
      <c r="D13" s="50" t="s">
        <v>174</v>
      </c>
      <c r="E13" s="51">
        <v>5877</v>
      </c>
      <c r="F13" s="461" t="s">
        <v>134</v>
      </c>
      <c r="G13" s="462" t="s">
        <v>427</v>
      </c>
      <c r="H13" s="461" t="s">
        <v>428</v>
      </c>
      <c r="I13" s="647" t="s">
        <v>429</v>
      </c>
      <c r="J13" s="763" t="s">
        <v>525</v>
      </c>
      <c r="K13" s="764" t="s">
        <v>526</v>
      </c>
      <c r="L13" s="462"/>
      <c r="M13" s="652" t="s">
        <v>527</v>
      </c>
      <c r="N13" s="647" t="s">
        <v>528</v>
      </c>
      <c r="O13" s="192" t="s">
        <v>146</v>
      </c>
      <c r="P13" s="193" t="s">
        <v>146</v>
      </c>
      <c r="Q13" s="60" t="s">
        <v>434</v>
      </c>
      <c r="R13" s="194" t="str">
        <f>VLOOKUP(Sheet_1_Table_1_134[[#This Row],[Learning Domain]],[1]List!$A$7:$B$12,2,0)</f>
        <v>IED</v>
      </c>
      <c r="S13" s="461">
        <v>30</v>
      </c>
      <c r="T13" s="634">
        <v>0</v>
      </c>
      <c r="U13" s="634">
        <v>0</v>
      </c>
      <c r="V13" s="634">
        <v>0</v>
      </c>
      <c r="W13" s="634">
        <v>0</v>
      </c>
      <c r="X13" s="634">
        <v>0</v>
      </c>
      <c r="Y13" s="634">
        <v>0</v>
      </c>
      <c r="Z13" s="634">
        <v>0</v>
      </c>
      <c r="AA13" s="634">
        <v>70</v>
      </c>
      <c r="AB13" s="53">
        <f>SUM(Sheet_1_Table_1_134[[#This Row],[Leadership LS]:[Career Development  CR]])</f>
        <v>100</v>
      </c>
      <c r="AC13" s="97" t="s">
        <v>144</v>
      </c>
      <c r="AD13" s="55" t="s">
        <v>386</v>
      </c>
      <c r="AE13" s="55" t="s">
        <v>142</v>
      </c>
      <c r="AF13" s="55" t="s">
        <v>146</v>
      </c>
      <c r="AG13" s="55" t="s">
        <v>142</v>
      </c>
      <c r="AH13" s="55">
        <v>2</v>
      </c>
      <c r="AI13" s="55">
        <v>30</v>
      </c>
      <c r="AJ13" s="62">
        <f>Sheet_1_Table_1_134[[#This Row],[ILP Units Per Session]]*Sheet_1_Table_1_134[[#This Row],[Quota]]</f>
        <v>60</v>
      </c>
      <c r="AK13" s="63">
        <v>46300</v>
      </c>
      <c r="AL13" s="165">
        <f>WEEKDAY(Sheet_1_Table_1_134[[#This Row],[Lesson 1 
Date 
(DD-MMM-YYYY)]])</f>
        <v>2</v>
      </c>
      <c r="AM13" s="65">
        <v>0.72916666666666663</v>
      </c>
      <c r="AN13" s="66">
        <v>0.8125</v>
      </c>
      <c r="AO13" s="67" t="s">
        <v>182</v>
      </c>
      <c r="AP13" s="68"/>
      <c r="AQ13" s="64">
        <f>WEEKDAY(Sheet_1_Table_1_134[[#This Row],[Lesson 2
Date 
(DD-MMM-YYYY)]])</f>
        <v>7</v>
      </c>
      <c r="AR13" s="65"/>
      <c r="AS13" s="66"/>
      <c r="AT13" s="126"/>
      <c r="AU13" s="63"/>
      <c r="AV13" s="64">
        <f>WEEKDAY(Sheet_1_Table_1_134[[#This Row],[Lesson 3
Date 
(DD-MMM-YYYY)]])</f>
        <v>7</v>
      </c>
      <c r="AW13" s="65"/>
      <c r="AX13" s="66"/>
      <c r="AY13" s="126"/>
      <c r="AZ13" s="98"/>
      <c r="BA13" s="64">
        <f>WEEKDAY(Sheet_1_Table_1_134[[#This Row],[Lesson 4
Date 
(DD-MMM-YYYY)]])</f>
        <v>7</v>
      </c>
      <c r="BB13" s="65"/>
      <c r="BC13" s="66"/>
      <c r="BD13" s="126"/>
      <c r="BE13" s="63"/>
      <c r="BF13" s="64">
        <f>WEEKDAY(Sheet_1_Table_1_134[[#This Row],[Lesson 5
Date 
(DD-MMM-YYYY)]])</f>
        <v>7</v>
      </c>
      <c r="BG13" s="65"/>
      <c r="BH13" s="66"/>
      <c r="BI13" s="126"/>
      <c r="BJ13" s="98"/>
      <c r="BK13" s="64">
        <f>WEEKDAY(Sheet_1_Table_1_134[[#This Row],[Lesson 6
Date 
(DD-MMM-YYYY)]])</f>
        <v>7</v>
      </c>
      <c r="BL13" s="65"/>
      <c r="BM13" s="66"/>
      <c r="BN13" s="99"/>
      <c r="BO13" s="54" t="s">
        <v>293</v>
      </c>
      <c r="BP13" s="69" t="s">
        <v>529</v>
      </c>
      <c r="BQ13" s="56" t="s">
        <v>462</v>
      </c>
      <c r="BR13" s="57" t="s">
        <v>530</v>
      </c>
      <c r="BS13" s="54"/>
      <c r="BT13" s="56"/>
      <c r="BU13" s="56"/>
      <c r="BV13" s="57"/>
      <c r="BW13" s="60"/>
      <c r="BX13" s="187"/>
      <c r="BY13" s="56" t="s">
        <v>184</v>
      </c>
      <c r="BZ13" s="56"/>
      <c r="CA13" s="56" t="s">
        <v>184</v>
      </c>
      <c r="CB13" s="195" t="s">
        <v>531</v>
      </c>
      <c r="CC13" s="195" t="s">
        <v>532</v>
      </c>
      <c r="CD13" s="195">
        <v>34627709</v>
      </c>
      <c r="CE13" s="60" t="s">
        <v>440</v>
      </c>
      <c r="CF13" s="72" t="s">
        <v>441</v>
      </c>
      <c r="CG13" s="56" t="s">
        <v>442</v>
      </c>
      <c r="CH13" s="57" t="s">
        <v>443</v>
      </c>
      <c r="CI13" s="52" t="s">
        <v>146</v>
      </c>
      <c r="CJ13" s="52" t="s">
        <v>142</v>
      </c>
      <c r="CK13" s="52" t="s">
        <v>142</v>
      </c>
      <c r="CL13" s="52" t="s">
        <v>142</v>
      </c>
      <c r="CM13" s="52" t="s">
        <v>142</v>
      </c>
      <c r="CN13" s="52" t="s">
        <v>142</v>
      </c>
      <c r="CO13" s="52" t="s">
        <v>142</v>
      </c>
      <c r="CP13" s="52" t="s">
        <v>142</v>
      </c>
      <c r="CQ13" s="52" t="s">
        <v>146</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N13" s="790"/>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13</v>
      </c>
      <c r="B14" s="49">
        <v>202609</v>
      </c>
      <c r="C14" s="50" t="s">
        <v>533</v>
      </c>
      <c r="D14" s="50" t="s">
        <v>174</v>
      </c>
      <c r="E14" s="51">
        <v>5915</v>
      </c>
      <c r="F14" s="461" t="s">
        <v>134</v>
      </c>
      <c r="G14" s="462" t="s">
        <v>427</v>
      </c>
      <c r="H14" s="97" t="s">
        <v>453</v>
      </c>
      <c r="I14" s="57" t="s">
        <v>454</v>
      </c>
      <c r="J14" s="224" t="s">
        <v>534</v>
      </c>
      <c r="K14" s="141" t="s">
        <v>535</v>
      </c>
      <c r="L14" s="53"/>
      <c r="M14" s="72" t="s">
        <v>536</v>
      </c>
      <c r="N14" s="70" t="s">
        <v>537</v>
      </c>
      <c r="O14" s="192" t="s">
        <v>146</v>
      </c>
      <c r="P14" s="193" t="s">
        <v>146</v>
      </c>
      <c r="Q14" s="60" t="s">
        <v>434</v>
      </c>
      <c r="R14" s="200" t="str">
        <f>VLOOKUP(Sheet_1_Table_1_134[[#This Row],[Learning Domain]],[1]List!$A$7:$B$12,2,0)</f>
        <v>IED</v>
      </c>
      <c r="S14" s="52">
        <v>0</v>
      </c>
      <c r="T14" s="55">
        <v>0</v>
      </c>
      <c r="U14" s="55">
        <v>0</v>
      </c>
      <c r="V14" s="55">
        <v>0</v>
      </c>
      <c r="W14" s="55">
        <v>0</v>
      </c>
      <c r="X14" s="55">
        <v>0</v>
      </c>
      <c r="Y14" s="55">
        <v>0</v>
      </c>
      <c r="Z14" s="55">
        <v>0</v>
      </c>
      <c r="AA14" s="55">
        <v>100</v>
      </c>
      <c r="AB14" s="53">
        <f>SUM(Sheet_1_Table_1_134[[#This Row],[Leadership LS]:[Career Development  CR]])</f>
        <v>100</v>
      </c>
      <c r="AC14" s="97" t="s">
        <v>144</v>
      </c>
      <c r="AD14" s="55" t="s">
        <v>190</v>
      </c>
      <c r="AE14" s="55" t="s">
        <v>142</v>
      </c>
      <c r="AF14" s="55" t="s">
        <v>146</v>
      </c>
      <c r="AG14" s="55" t="s">
        <v>142</v>
      </c>
      <c r="AH14" s="55">
        <v>1</v>
      </c>
      <c r="AI14" s="55">
        <v>70</v>
      </c>
      <c r="AJ14" s="62">
        <f>Sheet_1_Table_1_134[[#This Row],[ILP Units Per Session]]*Sheet_1_Table_1_134[[#This Row],[Quota]]</f>
        <v>70</v>
      </c>
      <c r="AK14" s="283">
        <v>46300</v>
      </c>
      <c r="AL14" s="64">
        <f>WEEKDAY(Sheet_1_Table_1_134[[#This Row],[Lesson 1 
Date 
(DD-MMM-YYYY)]])</f>
        <v>2</v>
      </c>
      <c r="AM14" s="65">
        <v>0.70833333333333337</v>
      </c>
      <c r="AN14" s="66">
        <v>0.75</v>
      </c>
      <c r="AO14" s="183" t="s">
        <v>538</v>
      </c>
      <c r="AP14" s="68"/>
      <c r="AQ14" s="64">
        <f>WEEKDAY(Sheet_1_Table_1_134[[#This Row],[Lesson 2
Date 
(DD-MMM-YYYY)]])</f>
        <v>7</v>
      </c>
      <c r="AR14" s="65"/>
      <c r="AS14" s="66"/>
      <c r="AT14" s="126"/>
      <c r="AU14" s="63"/>
      <c r="AV14" s="64">
        <f>WEEKDAY(Sheet_1_Table_1_134[[#This Row],[Lesson 3
Date 
(DD-MMM-YYYY)]])</f>
        <v>7</v>
      </c>
      <c r="AW14" s="65"/>
      <c r="AX14" s="66"/>
      <c r="AY14" s="126"/>
      <c r="AZ14" s="98"/>
      <c r="BA14" s="64">
        <f>WEEKDAY(Sheet_1_Table_1_134[[#This Row],[Lesson 4
Date 
(DD-MMM-YYYY)]])</f>
        <v>7</v>
      </c>
      <c r="BB14" s="65"/>
      <c r="BC14" s="66"/>
      <c r="BD14" s="126"/>
      <c r="BE14" s="63"/>
      <c r="BF14" s="64">
        <f>WEEKDAY(Sheet_1_Table_1_134[[#This Row],[Lesson 5
Date 
(DD-MMM-YYYY)]])</f>
        <v>7</v>
      </c>
      <c r="BG14" s="65"/>
      <c r="BH14" s="66"/>
      <c r="BI14" s="126"/>
      <c r="BJ14" s="98"/>
      <c r="BK14" s="64">
        <f>WEEKDAY(Sheet_1_Table_1_134[[#This Row],[Lesson 6
Date 
(DD-MMM-YYYY)]])</f>
        <v>7</v>
      </c>
      <c r="BL14" s="65"/>
      <c r="BM14" s="66"/>
      <c r="BN14" s="99"/>
      <c r="BO14" s="54" t="s">
        <v>293</v>
      </c>
      <c r="BP14" s="69" t="s">
        <v>539</v>
      </c>
      <c r="BQ14" s="56" t="s">
        <v>487</v>
      </c>
      <c r="BR14" s="57" t="s">
        <v>540</v>
      </c>
      <c r="BS14" s="54"/>
      <c r="BT14" s="56"/>
      <c r="BU14" s="56"/>
      <c r="BV14" s="57"/>
      <c r="BW14" s="60"/>
      <c r="BX14" s="187"/>
      <c r="BY14" s="56"/>
      <c r="BZ14" s="56"/>
      <c r="CA14" s="56"/>
      <c r="CB14" s="72"/>
      <c r="CC14" s="72"/>
      <c r="CD14" s="72"/>
      <c r="CE14" s="60" t="s">
        <v>541</v>
      </c>
      <c r="CF14" s="72" t="s">
        <v>151</v>
      </c>
      <c r="CG14" s="69" t="s">
        <v>271</v>
      </c>
      <c r="CH14" s="137" t="s">
        <v>272</v>
      </c>
      <c r="CI14" s="52" t="s">
        <v>146</v>
      </c>
      <c r="CJ14" s="52" t="s">
        <v>142</v>
      </c>
      <c r="CK14" s="52" t="s">
        <v>142</v>
      </c>
      <c r="CL14" s="52" t="s">
        <v>142</v>
      </c>
      <c r="CM14" s="52" t="s">
        <v>142</v>
      </c>
      <c r="CN14" s="52" t="s">
        <v>142</v>
      </c>
      <c r="CO14" s="52" t="s">
        <v>142</v>
      </c>
      <c r="CP14" s="52" t="s">
        <v>142</v>
      </c>
      <c r="CQ14" s="52" t="s">
        <v>146</v>
      </c>
      <c r="CR14" s="52" t="s">
        <v>146</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N14" s="790"/>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14</v>
      </c>
      <c r="B15" s="49">
        <v>202609</v>
      </c>
      <c r="C15" s="50" t="s">
        <v>542</v>
      </c>
      <c r="D15" s="50" t="s">
        <v>174</v>
      </c>
      <c r="E15" s="51">
        <v>5898</v>
      </c>
      <c r="F15" s="461" t="s">
        <v>134</v>
      </c>
      <c r="G15" s="462" t="s">
        <v>427</v>
      </c>
      <c r="H15" s="767" t="s">
        <v>428</v>
      </c>
      <c r="I15" s="635" t="s">
        <v>429</v>
      </c>
      <c r="J15" s="763"/>
      <c r="K15" s="764" t="s">
        <v>543</v>
      </c>
      <c r="L15" s="462" t="s">
        <v>473</v>
      </c>
      <c r="M15" s="72" t="s">
        <v>544</v>
      </c>
      <c r="N15" s="70" t="s">
        <v>545</v>
      </c>
      <c r="O15" s="192" t="s">
        <v>146</v>
      </c>
      <c r="P15" s="193" t="s">
        <v>146</v>
      </c>
      <c r="Q15" s="60" t="s">
        <v>434</v>
      </c>
      <c r="R15" s="194" t="str">
        <f>VLOOKUP(Sheet_1_Table_1_134[[#This Row],[Learning Domain]],[1]List!$A$7:$B$12,2,0)</f>
        <v>IED</v>
      </c>
      <c r="S15" s="461">
        <v>0</v>
      </c>
      <c r="T15" s="634">
        <v>0</v>
      </c>
      <c r="U15" s="634">
        <v>0</v>
      </c>
      <c r="V15" s="634">
        <v>0</v>
      </c>
      <c r="W15" s="634">
        <v>0</v>
      </c>
      <c r="X15" s="634">
        <v>0</v>
      </c>
      <c r="Y15" s="634">
        <v>0</v>
      </c>
      <c r="Z15" s="634">
        <v>0</v>
      </c>
      <c r="AA15" s="634">
        <v>100</v>
      </c>
      <c r="AB15" s="53">
        <f>SUM(Sheet_1_Table_1_134[[#This Row],[Leadership LS]:[Career Development  CR]])</f>
        <v>100</v>
      </c>
      <c r="AC15" s="97" t="s">
        <v>199</v>
      </c>
      <c r="AD15" s="55" t="s">
        <v>190</v>
      </c>
      <c r="AE15" s="55" t="s">
        <v>146</v>
      </c>
      <c r="AF15" s="55" t="s">
        <v>142</v>
      </c>
      <c r="AG15" s="55" t="s">
        <v>142</v>
      </c>
      <c r="AH15" s="55">
        <v>1</v>
      </c>
      <c r="AI15" s="174">
        <v>45</v>
      </c>
      <c r="AJ15" s="62">
        <f>Sheet_1_Table_1_134[[#This Row],[ILP Units Per Session]]*Sheet_1_Table_1_134[[#This Row],[Quota]]</f>
        <v>45</v>
      </c>
      <c r="AK15" s="63">
        <v>46301</v>
      </c>
      <c r="AL15" s="165">
        <f>WEEKDAY(Sheet_1_Table_1_134[[#This Row],[Lesson 1 
Date 
(DD-MMM-YYYY)]])</f>
        <v>3</v>
      </c>
      <c r="AM15" s="65">
        <v>0.66666666666666663</v>
      </c>
      <c r="AN15" s="66">
        <v>0.70833333333333337</v>
      </c>
      <c r="AO15" s="183" t="s">
        <v>546</v>
      </c>
      <c r="AP15" s="68"/>
      <c r="AQ15" s="64">
        <f>WEEKDAY(Sheet_1_Table_1_134[[#This Row],[Lesson 2
Date 
(DD-MMM-YYYY)]])</f>
        <v>7</v>
      </c>
      <c r="AR15" s="65"/>
      <c r="AS15" s="66"/>
      <c r="AT15" s="126"/>
      <c r="AU15" s="63"/>
      <c r="AV15" s="64">
        <f>WEEKDAY(Sheet_1_Table_1_134[[#This Row],[Lesson 3
Date 
(DD-MMM-YYYY)]])</f>
        <v>7</v>
      </c>
      <c r="AW15" s="65"/>
      <c r="AX15" s="66"/>
      <c r="AY15" s="126"/>
      <c r="AZ15" s="98"/>
      <c r="BA15" s="64">
        <f>WEEKDAY(Sheet_1_Table_1_134[[#This Row],[Lesson 4
Date 
(DD-MMM-YYYY)]])</f>
        <v>7</v>
      </c>
      <c r="BB15" s="65"/>
      <c r="BC15" s="66"/>
      <c r="BD15" s="126"/>
      <c r="BE15" s="63"/>
      <c r="BF15" s="64">
        <f>WEEKDAY(Sheet_1_Table_1_134[[#This Row],[Lesson 5
Date 
(DD-MMM-YYYY)]])</f>
        <v>7</v>
      </c>
      <c r="BG15" s="65"/>
      <c r="BH15" s="66"/>
      <c r="BI15" s="126"/>
      <c r="BJ15" s="98"/>
      <c r="BK15" s="64">
        <f>WEEKDAY(Sheet_1_Table_1_134[[#This Row],[Lesson 6
Date 
(DD-MMM-YYYY)]])</f>
        <v>7</v>
      </c>
      <c r="BL15" s="65"/>
      <c r="BM15" s="66"/>
      <c r="BN15" s="99"/>
      <c r="BO15" s="54" t="s">
        <v>293</v>
      </c>
      <c r="BP15" s="69" t="s">
        <v>547</v>
      </c>
      <c r="BQ15" s="56" t="s">
        <v>548</v>
      </c>
      <c r="BR15" s="57" t="s">
        <v>549</v>
      </c>
      <c r="BS15" s="54"/>
      <c r="BT15" s="56"/>
      <c r="BU15" s="56"/>
      <c r="BV15" s="57"/>
      <c r="BW15" s="60"/>
      <c r="BX15" s="187"/>
      <c r="BY15" s="56"/>
      <c r="BZ15" s="56"/>
      <c r="CA15" s="56"/>
      <c r="CB15" s="72"/>
      <c r="CC15" s="72"/>
      <c r="CD15" s="72"/>
      <c r="CE15" s="60" t="s">
        <v>440</v>
      </c>
      <c r="CF15" s="72" t="s">
        <v>441</v>
      </c>
      <c r="CG15" s="56" t="s">
        <v>271</v>
      </c>
      <c r="CH15" s="57" t="s">
        <v>272</v>
      </c>
      <c r="CI15" s="52" t="s">
        <v>146</v>
      </c>
      <c r="CJ15" s="52" t="s">
        <v>142</v>
      </c>
      <c r="CK15" s="52" t="s">
        <v>142</v>
      </c>
      <c r="CL15" s="52" t="s">
        <v>142</v>
      </c>
      <c r="CM15" s="52" t="s">
        <v>142</v>
      </c>
      <c r="CN15" s="52" t="s">
        <v>142</v>
      </c>
      <c r="CO15" s="52" t="s">
        <v>142</v>
      </c>
      <c r="CP15" s="52" t="s">
        <v>142</v>
      </c>
      <c r="CQ15" s="52" t="s">
        <v>146</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N15" s="790"/>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15</v>
      </c>
      <c r="B16" s="49">
        <v>202609</v>
      </c>
      <c r="C16" s="50" t="s">
        <v>550</v>
      </c>
      <c r="D16" s="50" t="s">
        <v>174</v>
      </c>
      <c r="E16" s="51">
        <v>5900</v>
      </c>
      <c r="F16" s="461" t="s">
        <v>134</v>
      </c>
      <c r="G16" s="462" t="s">
        <v>427</v>
      </c>
      <c r="H16" s="767" t="s">
        <v>428</v>
      </c>
      <c r="I16" s="635" t="s">
        <v>429</v>
      </c>
      <c r="J16" s="763"/>
      <c r="K16" s="764" t="s">
        <v>551</v>
      </c>
      <c r="L16" s="462" t="s">
        <v>473</v>
      </c>
      <c r="M16" s="72" t="s">
        <v>552</v>
      </c>
      <c r="N16" s="70" t="s">
        <v>553</v>
      </c>
      <c r="O16" s="192" t="s">
        <v>146</v>
      </c>
      <c r="P16" s="193" t="s">
        <v>146</v>
      </c>
      <c r="Q16" s="60" t="s">
        <v>434</v>
      </c>
      <c r="R16" s="200" t="str">
        <f>VLOOKUP(Sheet_1_Table_1_134[[#This Row],[Learning Domain]],[1]List!$A$7:$B$12,2,0)</f>
        <v>IED</v>
      </c>
      <c r="S16" s="461">
        <v>0</v>
      </c>
      <c r="T16" s="634">
        <v>0</v>
      </c>
      <c r="U16" s="634">
        <v>0</v>
      </c>
      <c r="V16" s="634">
        <v>0</v>
      </c>
      <c r="W16" s="634">
        <v>0</v>
      </c>
      <c r="X16" s="634">
        <v>0</v>
      </c>
      <c r="Y16" s="634">
        <v>0</v>
      </c>
      <c r="Z16" s="634">
        <v>0</v>
      </c>
      <c r="AA16" s="634">
        <v>100</v>
      </c>
      <c r="AB16" s="53">
        <f>SUM(Sheet_1_Table_1_134[[#This Row],[Leadership LS]:[Career Development  CR]])</f>
        <v>100</v>
      </c>
      <c r="AC16" s="97" t="s">
        <v>199</v>
      </c>
      <c r="AD16" s="55" t="s">
        <v>190</v>
      </c>
      <c r="AE16" s="55" t="s">
        <v>146</v>
      </c>
      <c r="AF16" s="55" t="s">
        <v>142</v>
      </c>
      <c r="AG16" s="55" t="s">
        <v>142</v>
      </c>
      <c r="AH16" s="55">
        <v>1</v>
      </c>
      <c r="AI16" s="174">
        <v>45</v>
      </c>
      <c r="AJ16" s="62">
        <f>Sheet_1_Table_1_134[[#This Row],[ILP Units Per Session]]*Sheet_1_Table_1_134[[#This Row],[Quota]]</f>
        <v>45</v>
      </c>
      <c r="AK16" s="63">
        <v>46301</v>
      </c>
      <c r="AL16" s="64">
        <f>WEEKDAY(Sheet_1_Table_1_134[[#This Row],[Lesson 1 
Date 
(DD-MMM-YYYY)]])</f>
        <v>3</v>
      </c>
      <c r="AM16" s="65">
        <v>0.72916666666666663</v>
      </c>
      <c r="AN16" s="66">
        <v>0.77083333333333337</v>
      </c>
      <c r="AO16" s="183" t="s">
        <v>546</v>
      </c>
      <c r="AP16" s="68"/>
      <c r="AQ16" s="64">
        <f>WEEKDAY(Sheet_1_Table_1_134[[#This Row],[Lesson 2
Date 
(DD-MMM-YYYY)]])</f>
        <v>7</v>
      </c>
      <c r="AR16" s="65"/>
      <c r="AS16" s="66"/>
      <c r="AT16" s="126"/>
      <c r="AU16" s="63"/>
      <c r="AV16" s="64">
        <f>WEEKDAY(Sheet_1_Table_1_134[[#This Row],[Lesson 3
Date 
(DD-MMM-YYYY)]])</f>
        <v>7</v>
      </c>
      <c r="AW16" s="65"/>
      <c r="AX16" s="66"/>
      <c r="AY16" s="126"/>
      <c r="AZ16" s="98"/>
      <c r="BA16" s="64">
        <f>WEEKDAY(Sheet_1_Table_1_134[[#This Row],[Lesson 4
Date 
(DD-MMM-YYYY)]])</f>
        <v>7</v>
      </c>
      <c r="BB16" s="65"/>
      <c r="BC16" s="66"/>
      <c r="BD16" s="126"/>
      <c r="BE16" s="63"/>
      <c r="BF16" s="64">
        <f>WEEKDAY(Sheet_1_Table_1_134[[#This Row],[Lesson 5
Date 
(DD-MMM-YYYY)]])</f>
        <v>7</v>
      </c>
      <c r="BG16" s="65"/>
      <c r="BH16" s="66"/>
      <c r="BI16" s="126"/>
      <c r="BJ16" s="98"/>
      <c r="BK16" s="64">
        <f>WEEKDAY(Sheet_1_Table_1_134[[#This Row],[Lesson 6
Date 
(DD-MMM-YYYY)]])</f>
        <v>7</v>
      </c>
      <c r="BL16" s="65"/>
      <c r="BM16" s="66"/>
      <c r="BN16" s="99"/>
      <c r="BO16" s="54" t="s">
        <v>293</v>
      </c>
      <c r="BP16" s="69" t="s">
        <v>547</v>
      </c>
      <c r="BQ16" s="56" t="s">
        <v>548</v>
      </c>
      <c r="BR16" s="57" t="s">
        <v>549</v>
      </c>
      <c r="BS16" s="54"/>
      <c r="BT16" s="56"/>
      <c r="BU16" s="56"/>
      <c r="BV16" s="57"/>
      <c r="BW16" s="60"/>
      <c r="BX16" s="187"/>
      <c r="BY16" s="56"/>
      <c r="BZ16" s="56"/>
      <c r="CA16" s="56"/>
      <c r="CB16" s="72"/>
      <c r="CC16" s="72"/>
      <c r="CD16" s="72"/>
      <c r="CE16" s="60" t="s">
        <v>440</v>
      </c>
      <c r="CF16" s="72" t="s">
        <v>441</v>
      </c>
      <c r="CG16" s="56" t="s">
        <v>271</v>
      </c>
      <c r="CH16" s="57" t="s">
        <v>272</v>
      </c>
      <c r="CI16" s="52" t="s">
        <v>146</v>
      </c>
      <c r="CJ16" s="52" t="s">
        <v>142</v>
      </c>
      <c r="CK16" s="52" t="s">
        <v>142</v>
      </c>
      <c r="CL16" s="52" t="s">
        <v>142</v>
      </c>
      <c r="CM16" s="52" t="s">
        <v>142</v>
      </c>
      <c r="CN16" s="52" t="s">
        <v>142</v>
      </c>
      <c r="CO16" s="52" t="s">
        <v>142</v>
      </c>
      <c r="CP16" s="52" t="s">
        <v>142</v>
      </c>
      <c r="CQ16" s="52" t="s">
        <v>146</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N16" s="790"/>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16</v>
      </c>
      <c r="B17" s="49">
        <v>202609</v>
      </c>
      <c r="C17" s="50" t="s">
        <v>554</v>
      </c>
      <c r="D17" s="50" t="s">
        <v>174</v>
      </c>
      <c r="E17" s="51">
        <v>5890</v>
      </c>
      <c r="F17" s="461" t="s">
        <v>134</v>
      </c>
      <c r="G17" s="462" t="s">
        <v>427</v>
      </c>
      <c r="H17" s="767" t="s">
        <v>428</v>
      </c>
      <c r="I17" s="635" t="s">
        <v>429</v>
      </c>
      <c r="J17" s="763" t="s">
        <v>471</v>
      </c>
      <c r="K17" s="764" t="s">
        <v>472</v>
      </c>
      <c r="L17" s="462" t="s">
        <v>555</v>
      </c>
      <c r="M17" s="652" t="s">
        <v>474</v>
      </c>
      <c r="N17" s="647" t="s">
        <v>556</v>
      </c>
      <c r="O17" s="222" t="s">
        <v>146</v>
      </c>
      <c r="P17" s="53" t="s">
        <v>146</v>
      </c>
      <c r="Q17" s="60" t="s">
        <v>434</v>
      </c>
      <c r="R17" s="200" t="str">
        <f>VLOOKUP(Sheet_1_Table_1_134[[#This Row],[Learning Domain]],[1]List!$A$7:$B$12,2,0)</f>
        <v>IED</v>
      </c>
      <c r="S17" s="52">
        <v>30</v>
      </c>
      <c r="T17" s="55">
        <v>0</v>
      </c>
      <c r="U17" s="55">
        <v>0</v>
      </c>
      <c r="V17" s="55">
        <v>0</v>
      </c>
      <c r="W17" s="55">
        <v>70</v>
      </c>
      <c r="X17" s="55">
        <v>0</v>
      </c>
      <c r="Y17" s="55">
        <v>0</v>
      </c>
      <c r="Z17" s="55">
        <v>0</v>
      </c>
      <c r="AA17" s="55">
        <v>0</v>
      </c>
      <c r="AB17" s="53">
        <f>SUM(Sheet_1_Table_1_134[[#This Row],[Leadership LS]:[Career Development  CR]])</f>
        <v>100</v>
      </c>
      <c r="AC17" s="97" t="s">
        <v>144</v>
      </c>
      <c r="AD17" s="55" t="s">
        <v>386</v>
      </c>
      <c r="AE17" s="55" t="s">
        <v>146</v>
      </c>
      <c r="AF17" s="55" t="s">
        <v>142</v>
      </c>
      <c r="AG17" s="55" t="s">
        <v>142</v>
      </c>
      <c r="AH17" s="174">
        <v>1</v>
      </c>
      <c r="AI17" s="55">
        <v>100</v>
      </c>
      <c r="AJ17" s="62">
        <f>Sheet_1_Table_1_134[[#This Row],[ILP Units Per Session]]*Sheet_1_Table_1_134[[#This Row],[Quota]]</f>
        <v>100</v>
      </c>
      <c r="AK17" s="179">
        <v>46302</v>
      </c>
      <c r="AL17" s="64">
        <f>WEEKDAY(Sheet_1_Table_1_134[[#This Row],[Lesson 1 
Date 
(DD-MMM-YYYY)]])</f>
        <v>4</v>
      </c>
      <c r="AM17" s="65">
        <v>0.79166666666666663</v>
      </c>
      <c r="AN17" s="66">
        <v>0.875</v>
      </c>
      <c r="AO17" s="67" t="s">
        <v>557</v>
      </c>
      <c r="AP17" s="68"/>
      <c r="AQ17" s="64">
        <f>WEEKDAY(Sheet_1_Table_1_134[[#This Row],[Lesson 2
Date 
(DD-MMM-YYYY)]])</f>
        <v>7</v>
      </c>
      <c r="AR17" s="65"/>
      <c r="AS17" s="66"/>
      <c r="AT17" s="126"/>
      <c r="AU17" s="63"/>
      <c r="AV17" s="64">
        <f>WEEKDAY(Sheet_1_Table_1_134[[#This Row],[Lesson 3
Date 
(DD-MMM-YYYY)]])</f>
        <v>7</v>
      </c>
      <c r="AW17" s="65"/>
      <c r="AX17" s="66"/>
      <c r="AY17" s="126"/>
      <c r="AZ17" s="98"/>
      <c r="BA17" s="64">
        <f>WEEKDAY(Sheet_1_Table_1_134[[#This Row],[Lesson 4
Date 
(DD-MMM-YYYY)]])</f>
        <v>7</v>
      </c>
      <c r="BB17" s="65"/>
      <c r="BC17" s="66"/>
      <c r="BD17" s="126"/>
      <c r="BE17" s="63"/>
      <c r="BF17" s="64">
        <f>WEEKDAY(Sheet_1_Table_1_134[[#This Row],[Lesson 5
Date 
(DD-MMM-YYYY)]])</f>
        <v>7</v>
      </c>
      <c r="BG17" s="65"/>
      <c r="BH17" s="66"/>
      <c r="BI17" s="126"/>
      <c r="BJ17" s="98"/>
      <c r="BK17" s="64">
        <f>WEEKDAY(Sheet_1_Table_1_134[[#This Row],[Lesson 6
Date 
(DD-MMM-YYYY)]])</f>
        <v>7</v>
      </c>
      <c r="BL17" s="65"/>
      <c r="BM17" s="66"/>
      <c r="BN17" s="99"/>
      <c r="BO17" s="54"/>
      <c r="BP17" s="69" t="s">
        <v>477</v>
      </c>
      <c r="BQ17" s="56"/>
      <c r="BR17" s="57"/>
      <c r="BS17" s="54"/>
      <c r="BT17" s="56"/>
      <c r="BU17" s="56"/>
      <c r="BV17" s="57"/>
      <c r="BW17" s="60"/>
      <c r="BX17" s="187"/>
      <c r="BY17" s="56"/>
      <c r="BZ17" s="56"/>
      <c r="CA17" s="56"/>
      <c r="CB17" s="195" t="s">
        <v>558</v>
      </c>
      <c r="CC17" s="195" t="s">
        <v>559</v>
      </c>
      <c r="CD17" s="195">
        <v>18514324</v>
      </c>
      <c r="CE17" s="60" t="s">
        <v>440</v>
      </c>
      <c r="CF17" s="71" t="s">
        <v>441</v>
      </c>
      <c r="CG17" s="56" t="s">
        <v>478</v>
      </c>
      <c r="CH17" s="57" t="s">
        <v>479</v>
      </c>
      <c r="CI17" s="55" t="s">
        <v>142</v>
      </c>
      <c r="CJ17" s="55" t="s">
        <v>142</v>
      </c>
      <c r="CK17" s="55" t="s">
        <v>142</v>
      </c>
      <c r="CL17" s="55" t="s">
        <v>142</v>
      </c>
      <c r="CM17" s="55" t="s">
        <v>146</v>
      </c>
      <c r="CN17" s="55" t="s">
        <v>146</v>
      </c>
      <c r="CO17" s="55" t="s">
        <v>142</v>
      </c>
      <c r="CP17" s="55" t="s">
        <v>142</v>
      </c>
      <c r="CQ17" s="55" t="s">
        <v>142</v>
      </c>
      <c r="CR17" s="55" t="s">
        <v>142</v>
      </c>
      <c r="CS17" s="55" t="s">
        <v>142</v>
      </c>
      <c r="CT17" s="55" t="s">
        <v>142</v>
      </c>
      <c r="CU17" s="55" t="s">
        <v>142</v>
      </c>
      <c r="CV17" s="55" t="s">
        <v>142</v>
      </c>
      <c r="CW17" s="55" t="s">
        <v>142</v>
      </c>
      <c r="CX17" s="55" t="s">
        <v>142</v>
      </c>
      <c r="CY17" s="55" t="s">
        <v>142</v>
      </c>
      <c r="CZ17" s="96" t="s">
        <v>142</v>
      </c>
      <c r="DA17" s="54" t="s">
        <v>154</v>
      </c>
      <c r="DB17" s="50" t="s">
        <v>155</v>
      </c>
      <c r="DC17" s="50" t="s">
        <v>156</v>
      </c>
      <c r="DD17" s="50" t="s">
        <v>146</v>
      </c>
      <c r="DE17" s="50" t="s">
        <v>157</v>
      </c>
      <c r="DF17" s="50" t="s">
        <v>146</v>
      </c>
      <c r="DG17" s="73"/>
      <c r="DH17" s="73"/>
      <c r="DI17" s="74"/>
      <c r="DJ17" s="75"/>
      <c r="DK17" s="76" t="s">
        <v>146</v>
      </c>
      <c r="DL17" s="76" t="s">
        <v>146</v>
      </c>
      <c r="DM17" s="76" t="s">
        <v>146</v>
      </c>
      <c r="DN17" s="790"/>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223">
        <v>17</v>
      </c>
      <c r="B18" s="49">
        <v>202609</v>
      </c>
      <c r="C18" s="50" t="s">
        <v>560</v>
      </c>
      <c r="D18" s="50" t="s">
        <v>174</v>
      </c>
      <c r="E18" s="51">
        <v>5902</v>
      </c>
      <c r="F18" s="461" t="s">
        <v>134</v>
      </c>
      <c r="G18" s="462" t="s">
        <v>427</v>
      </c>
      <c r="H18" s="767" t="s">
        <v>428</v>
      </c>
      <c r="I18" s="635" t="s">
        <v>429</v>
      </c>
      <c r="J18" s="763"/>
      <c r="K18" s="764" t="s">
        <v>561</v>
      </c>
      <c r="L18" s="462"/>
      <c r="M18" s="72" t="s">
        <v>562</v>
      </c>
      <c r="N18" s="70" t="s">
        <v>563</v>
      </c>
      <c r="O18" s="192" t="s">
        <v>146</v>
      </c>
      <c r="P18" s="193" t="s">
        <v>146</v>
      </c>
      <c r="Q18" s="60" t="s">
        <v>434</v>
      </c>
      <c r="R18" s="194" t="str">
        <f>VLOOKUP(Sheet_1_Table_1_134[[#This Row],[Learning Domain]],[1]List!$A$7:$B$12,2,0)</f>
        <v>IED</v>
      </c>
      <c r="S18" s="461">
        <v>0</v>
      </c>
      <c r="T18" s="634">
        <v>0</v>
      </c>
      <c r="U18" s="634">
        <v>0</v>
      </c>
      <c r="V18" s="634">
        <v>0</v>
      </c>
      <c r="W18" s="634">
        <v>0</v>
      </c>
      <c r="X18" s="634">
        <v>0</v>
      </c>
      <c r="Y18" s="634">
        <v>0</v>
      </c>
      <c r="Z18" s="634">
        <v>0</v>
      </c>
      <c r="AA18" s="634">
        <v>100</v>
      </c>
      <c r="AB18" s="53">
        <f>SUM(Sheet_1_Table_1_134[[#This Row],[Leadership LS]:[Career Development  CR]])</f>
        <v>100</v>
      </c>
      <c r="AC18" s="97" t="s">
        <v>199</v>
      </c>
      <c r="AD18" s="55" t="s">
        <v>190</v>
      </c>
      <c r="AE18" s="55" t="s">
        <v>146</v>
      </c>
      <c r="AF18" s="55" t="s">
        <v>142</v>
      </c>
      <c r="AG18" s="55" t="s">
        <v>142</v>
      </c>
      <c r="AH18" s="55">
        <v>1</v>
      </c>
      <c r="AI18" s="174">
        <v>40</v>
      </c>
      <c r="AJ18" s="62">
        <f>Sheet_1_Table_1_134[[#This Row],[ILP Units Per Session]]*Sheet_1_Table_1_134[[#This Row],[Quota]]</f>
        <v>40</v>
      </c>
      <c r="AK18" s="311">
        <v>46303</v>
      </c>
      <c r="AL18" s="313">
        <f>WEEKDAY(Sheet_1_Table_1_134[[#This Row],[Lesson 1 
Date 
(DD-MMM-YYYY)]])</f>
        <v>5</v>
      </c>
      <c r="AM18" s="315">
        <v>0.66666666666666663</v>
      </c>
      <c r="AN18" s="317">
        <v>0.70833333333333337</v>
      </c>
      <c r="AO18" s="319" t="s">
        <v>564</v>
      </c>
      <c r="AP18" s="68"/>
      <c r="AQ18" s="64">
        <f>WEEKDAY(Sheet_1_Table_1_134[[#This Row],[Lesson 2
Date 
(DD-MMM-YYYY)]])</f>
        <v>7</v>
      </c>
      <c r="AR18" s="65"/>
      <c r="AS18" s="66"/>
      <c r="AT18" s="126"/>
      <c r="AU18" s="63"/>
      <c r="AV18" s="64">
        <f>WEEKDAY(Sheet_1_Table_1_134[[#This Row],[Lesson 3
Date 
(DD-MMM-YYYY)]])</f>
        <v>7</v>
      </c>
      <c r="AW18" s="65"/>
      <c r="AX18" s="66"/>
      <c r="AY18" s="126"/>
      <c r="AZ18" s="98"/>
      <c r="BA18" s="64">
        <f>WEEKDAY(Sheet_1_Table_1_134[[#This Row],[Lesson 4
Date 
(DD-MMM-YYYY)]])</f>
        <v>7</v>
      </c>
      <c r="BB18" s="65"/>
      <c r="BC18" s="66"/>
      <c r="BD18" s="126"/>
      <c r="BE18" s="63"/>
      <c r="BF18" s="64">
        <f>WEEKDAY(Sheet_1_Table_1_134[[#This Row],[Lesson 5
Date 
(DD-MMM-YYYY)]])</f>
        <v>7</v>
      </c>
      <c r="BG18" s="65"/>
      <c r="BH18" s="66"/>
      <c r="BI18" s="126"/>
      <c r="BJ18" s="98"/>
      <c r="BK18" s="64">
        <f>WEEKDAY(Sheet_1_Table_1_134[[#This Row],[Lesson 6
Date 
(DD-MMM-YYYY)]])</f>
        <v>7</v>
      </c>
      <c r="BL18" s="65"/>
      <c r="BM18" s="66"/>
      <c r="BN18" s="99"/>
      <c r="BO18" s="54" t="s">
        <v>293</v>
      </c>
      <c r="BP18" s="69" t="s">
        <v>547</v>
      </c>
      <c r="BQ18" s="56" t="s">
        <v>548</v>
      </c>
      <c r="BR18" s="57" t="s">
        <v>549</v>
      </c>
      <c r="BS18" s="54"/>
      <c r="BT18" s="56"/>
      <c r="BU18" s="56"/>
      <c r="BV18" s="57"/>
      <c r="BW18" s="60"/>
      <c r="BX18" s="187"/>
      <c r="BY18" s="56"/>
      <c r="BZ18" s="56"/>
      <c r="CA18" s="56"/>
      <c r="CB18" s="72"/>
      <c r="CC18" s="72"/>
      <c r="CD18" s="72"/>
      <c r="CE18" s="60" t="s">
        <v>440</v>
      </c>
      <c r="CF18" s="72" t="s">
        <v>441</v>
      </c>
      <c r="CG18" s="56" t="s">
        <v>271</v>
      </c>
      <c r="CH18" s="57" t="s">
        <v>272</v>
      </c>
      <c r="CI18" s="52" t="s">
        <v>146</v>
      </c>
      <c r="CJ18" s="52" t="s">
        <v>142</v>
      </c>
      <c r="CK18" s="52" t="s">
        <v>142</v>
      </c>
      <c r="CL18" s="52" t="s">
        <v>142</v>
      </c>
      <c r="CM18" s="52" t="s">
        <v>142</v>
      </c>
      <c r="CN18" s="52" t="s">
        <v>142</v>
      </c>
      <c r="CO18" s="52" t="s">
        <v>142</v>
      </c>
      <c r="CP18" s="52" t="s">
        <v>142</v>
      </c>
      <c r="CQ18" s="52" t="s">
        <v>146</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N18" s="790"/>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18</v>
      </c>
      <c r="B19" s="49">
        <v>202609</v>
      </c>
      <c r="C19" s="50" t="s">
        <v>565</v>
      </c>
      <c r="D19" s="50" t="s">
        <v>174</v>
      </c>
      <c r="E19" s="51">
        <v>5903</v>
      </c>
      <c r="F19" s="461" t="s">
        <v>134</v>
      </c>
      <c r="G19" s="462" t="s">
        <v>427</v>
      </c>
      <c r="H19" s="461" t="s">
        <v>428</v>
      </c>
      <c r="I19" s="635" t="s">
        <v>429</v>
      </c>
      <c r="J19" s="763"/>
      <c r="K19" s="764" t="s">
        <v>566</v>
      </c>
      <c r="L19" s="462"/>
      <c r="M19" s="72" t="s">
        <v>567</v>
      </c>
      <c r="N19" s="255" t="s">
        <v>568</v>
      </c>
      <c r="O19" s="192" t="s">
        <v>146</v>
      </c>
      <c r="P19" s="193" t="s">
        <v>146</v>
      </c>
      <c r="Q19" s="60" t="s">
        <v>434</v>
      </c>
      <c r="R19" s="200" t="str">
        <f>VLOOKUP(Sheet_1_Table_1_134[[#This Row],[Learning Domain]],[1]List!$A$7:$B$12,2,0)</f>
        <v>IED</v>
      </c>
      <c r="S19" s="461">
        <v>0</v>
      </c>
      <c r="T19" s="634">
        <v>0</v>
      </c>
      <c r="U19" s="634">
        <v>0</v>
      </c>
      <c r="V19" s="634">
        <v>0</v>
      </c>
      <c r="W19" s="634">
        <v>0</v>
      </c>
      <c r="X19" s="634">
        <v>0</v>
      </c>
      <c r="Y19" s="634">
        <v>0</v>
      </c>
      <c r="Z19" s="634">
        <v>0</v>
      </c>
      <c r="AA19" s="634">
        <v>100</v>
      </c>
      <c r="AB19" s="53">
        <f>SUM(Sheet_1_Table_1_134[[#This Row],[Leadership LS]:[Career Development  CR]])</f>
        <v>100</v>
      </c>
      <c r="AC19" s="97" t="s">
        <v>199</v>
      </c>
      <c r="AD19" s="55" t="s">
        <v>190</v>
      </c>
      <c r="AE19" s="55" t="s">
        <v>146</v>
      </c>
      <c r="AF19" s="55" t="s">
        <v>142</v>
      </c>
      <c r="AG19" s="55" t="s">
        <v>142</v>
      </c>
      <c r="AH19" s="55">
        <v>1</v>
      </c>
      <c r="AI19" s="174">
        <v>40</v>
      </c>
      <c r="AJ19" s="62">
        <f>Sheet_1_Table_1_134[[#This Row],[ILP Units Per Session]]*Sheet_1_Table_1_134[[#This Row],[Quota]]</f>
        <v>40</v>
      </c>
      <c r="AK19" s="63">
        <v>46303</v>
      </c>
      <c r="AL19" s="64">
        <f>WEEKDAY(Sheet_1_Table_1_134[[#This Row],[Lesson 1 
Date 
(DD-MMM-YYYY)]])</f>
        <v>5</v>
      </c>
      <c r="AM19" s="65">
        <v>0.72916666666666663</v>
      </c>
      <c r="AN19" s="66">
        <v>0.77083333333333337</v>
      </c>
      <c r="AO19" s="183" t="s">
        <v>564</v>
      </c>
      <c r="AP19" s="68"/>
      <c r="AQ19" s="64">
        <f>WEEKDAY(Sheet_1_Table_1_134[[#This Row],[Lesson 2
Date 
(DD-MMM-YYYY)]])</f>
        <v>7</v>
      </c>
      <c r="AR19" s="65"/>
      <c r="AS19" s="66"/>
      <c r="AT19" s="126"/>
      <c r="AU19" s="63"/>
      <c r="AV19" s="64">
        <f>WEEKDAY(Sheet_1_Table_1_134[[#This Row],[Lesson 3
Date 
(DD-MMM-YYYY)]])</f>
        <v>7</v>
      </c>
      <c r="AW19" s="65"/>
      <c r="AX19" s="66"/>
      <c r="AY19" s="126"/>
      <c r="AZ19" s="98"/>
      <c r="BA19" s="64">
        <f>WEEKDAY(Sheet_1_Table_1_134[[#This Row],[Lesson 4
Date 
(DD-MMM-YYYY)]])</f>
        <v>7</v>
      </c>
      <c r="BB19" s="65"/>
      <c r="BC19" s="66"/>
      <c r="BD19" s="126"/>
      <c r="BE19" s="63"/>
      <c r="BF19" s="64">
        <f>WEEKDAY(Sheet_1_Table_1_134[[#This Row],[Lesson 5
Date 
(DD-MMM-YYYY)]])</f>
        <v>7</v>
      </c>
      <c r="BG19" s="65"/>
      <c r="BH19" s="66"/>
      <c r="BI19" s="126"/>
      <c r="BJ19" s="98"/>
      <c r="BK19" s="64">
        <f>WEEKDAY(Sheet_1_Table_1_134[[#This Row],[Lesson 6
Date 
(DD-MMM-YYYY)]])</f>
        <v>7</v>
      </c>
      <c r="BL19" s="65"/>
      <c r="BM19" s="66"/>
      <c r="BN19" s="99"/>
      <c r="BO19" s="54" t="s">
        <v>293</v>
      </c>
      <c r="BP19" s="209" t="s">
        <v>547</v>
      </c>
      <c r="BQ19" s="56" t="s">
        <v>548</v>
      </c>
      <c r="BR19" s="57" t="s">
        <v>549</v>
      </c>
      <c r="BS19" s="54"/>
      <c r="BT19" s="56"/>
      <c r="BU19" s="56"/>
      <c r="BV19" s="57"/>
      <c r="BW19" s="60"/>
      <c r="BX19" s="187"/>
      <c r="BY19" s="56"/>
      <c r="BZ19" s="56"/>
      <c r="CA19" s="56"/>
      <c r="CB19" s="72"/>
      <c r="CC19" s="72"/>
      <c r="CD19" s="72"/>
      <c r="CE19" s="60" t="s">
        <v>440</v>
      </c>
      <c r="CF19" s="72" t="s">
        <v>441</v>
      </c>
      <c r="CG19" s="56" t="s">
        <v>271</v>
      </c>
      <c r="CH19" s="57" t="s">
        <v>272</v>
      </c>
      <c r="CI19" s="52" t="s">
        <v>146</v>
      </c>
      <c r="CJ19" s="52" t="s">
        <v>142</v>
      </c>
      <c r="CK19" s="52" t="s">
        <v>142</v>
      </c>
      <c r="CL19" s="52" t="s">
        <v>142</v>
      </c>
      <c r="CM19" s="52" t="s">
        <v>142</v>
      </c>
      <c r="CN19" s="52" t="s">
        <v>142</v>
      </c>
      <c r="CO19" s="52" t="s">
        <v>142</v>
      </c>
      <c r="CP19" s="52" t="s">
        <v>142</v>
      </c>
      <c r="CQ19" s="52" t="s">
        <v>146</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N19" s="790"/>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s="872" customFormat="1" ht="80.099999999999994" customHeight="1">
      <c r="A20" s="223">
        <v>19</v>
      </c>
      <c r="B20" s="836">
        <v>202609</v>
      </c>
      <c r="C20" s="837" t="s">
        <v>569</v>
      </c>
      <c r="D20" s="837" t="s">
        <v>174</v>
      </c>
      <c r="E20" s="838">
        <v>5897</v>
      </c>
      <c r="F20" s="839" t="s">
        <v>134</v>
      </c>
      <c r="G20" s="840" t="s">
        <v>427</v>
      </c>
      <c r="H20" s="841"/>
      <c r="I20" s="842"/>
      <c r="J20" s="843" t="s">
        <v>570</v>
      </c>
      <c r="K20" s="844" t="s">
        <v>571</v>
      </c>
      <c r="L20" s="845"/>
      <c r="M20" s="846" t="s">
        <v>572</v>
      </c>
      <c r="N20" s="847" t="s">
        <v>573</v>
      </c>
      <c r="O20" s="848" t="s">
        <v>146</v>
      </c>
      <c r="P20" s="849" t="s">
        <v>146</v>
      </c>
      <c r="Q20" s="844" t="s">
        <v>434</v>
      </c>
      <c r="R20" s="850" t="str">
        <f>VLOOKUP(Sheet_1_Table_1_134[[#This Row],[Learning Domain]],[1]List!$A$7:$B$12,2,0)</f>
        <v>IED</v>
      </c>
      <c r="S20" s="841">
        <v>30</v>
      </c>
      <c r="T20" s="851">
        <v>0</v>
      </c>
      <c r="U20" s="851">
        <v>0</v>
      </c>
      <c r="V20" s="851">
        <v>0</v>
      </c>
      <c r="W20" s="851">
        <v>0</v>
      </c>
      <c r="X20" s="851">
        <v>0</v>
      </c>
      <c r="Y20" s="851">
        <v>0</v>
      </c>
      <c r="Z20" s="851">
        <v>0</v>
      </c>
      <c r="AA20" s="851">
        <v>70</v>
      </c>
      <c r="AB20" s="845">
        <f>SUM(Sheet_1_Table_1_134[[#This Row],[Leadership LS]:[Career Development  CR]])</f>
        <v>100</v>
      </c>
      <c r="AC20" s="852" t="s">
        <v>144</v>
      </c>
      <c r="AD20" s="851" t="s">
        <v>190</v>
      </c>
      <c r="AE20" s="851" t="s">
        <v>142</v>
      </c>
      <c r="AF20" s="851" t="s">
        <v>146</v>
      </c>
      <c r="AG20" s="851" t="s">
        <v>142</v>
      </c>
      <c r="AH20" s="851">
        <v>1</v>
      </c>
      <c r="AI20" s="853">
        <v>70</v>
      </c>
      <c r="AJ20" s="854">
        <f>Sheet_1_Table_1_134[[#This Row],[ILP Units Per Session]]*Sheet_1_Table_1_134[[#This Row],[Quota]]</f>
        <v>70</v>
      </c>
      <c r="AK20" s="855">
        <v>46304</v>
      </c>
      <c r="AL20" s="856">
        <f>WEEKDAY(Sheet_1_Table_1_134[[#This Row],[Lesson 1 
Date 
(DD-MMM-YYYY)]])</f>
        <v>6</v>
      </c>
      <c r="AM20" s="546">
        <v>0.66666666666666663</v>
      </c>
      <c r="AN20" s="547">
        <v>0.70833333333333337</v>
      </c>
      <c r="AO20" s="857" t="s">
        <v>147</v>
      </c>
      <c r="AP20" s="858"/>
      <c r="AQ20" s="856">
        <f>WEEKDAY(Sheet_1_Table_1_134[[#This Row],[Lesson 2
Date 
(DD-MMM-YYYY)]])</f>
        <v>7</v>
      </c>
      <c r="AR20" s="546"/>
      <c r="AS20" s="547"/>
      <c r="AT20" s="859"/>
      <c r="AU20" s="421"/>
      <c r="AV20" s="856">
        <f>WEEKDAY(Sheet_1_Table_1_134[[#This Row],[Lesson 3
Date 
(DD-MMM-YYYY)]])</f>
        <v>7</v>
      </c>
      <c r="AW20" s="546"/>
      <c r="AX20" s="547"/>
      <c r="AY20" s="859"/>
      <c r="AZ20" s="860"/>
      <c r="BA20" s="856">
        <f>WEEKDAY(Sheet_1_Table_1_134[[#This Row],[Lesson 4
Date 
(DD-MMM-YYYY)]])</f>
        <v>7</v>
      </c>
      <c r="BB20" s="546"/>
      <c r="BC20" s="547"/>
      <c r="BD20" s="859"/>
      <c r="BE20" s="421"/>
      <c r="BF20" s="856">
        <f>WEEKDAY(Sheet_1_Table_1_134[[#This Row],[Lesson 5
Date 
(DD-MMM-YYYY)]])</f>
        <v>7</v>
      </c>
      <c r="BG20" s="546"/>
      <c r="BH20" s="547"/>
      <c r="BI20" s="859"/>
      <c r="BJ20" s="860"/>
      <c r="BK20" s="856">
        <f>WEEKDAY(Sheet_1_Table_1_134[[#This Row],[Lesson 6
Date 
(DD-MMM-YYYY)]])</f>
        <v>7</v>
      </c>
      <c r="BL20" s="546"/>
      <c r="BM20" s="547"/>
      <c r="BN20" s="861"/>
      <c r="BO20" s="862" t="s">
        <v>449</v>
      </c>
      <c r="BP20" s="863"/>
      <c r="BQ20" s="168"/>
      <c r="BR20" s="842"/>
      <c r="BS20" s="543"/>
      <c r="BT20" s="168"/>
      <c r="BU20" s="168"/>
      <c r="BV20" s="842"/>
      <c r="BW20" s="844"/>
      <c r="BX20" s="864"/>
      <c r="BY20" s="168"/>
      <c r="BZ20" s="168"/>
      <c r="CA20" s="168"/>
      <c r="CB20" s="846"/>
      <c r="CC20" s="846"/>
      <c r="CD20" s="846"/>
      <c r="CE20" s="844" t="s">
        <v>440</v>
      </c>
      <c r="CF20" s="846" t="s">
        <v>441</v>
      </c>
      <c r="CG20" s="168" t="s">
        <v>450</v>
      </c>
      <c r="CH20" s="842" t="s">
        <v>451</v>
      </c>
      <c r="CI20" s="841" t="s">
        <v>142</v>
      </c>
      <c r="CJ20" s="841" t="s">
        <v>142</v>
      </c>
      <c r="CK20" s="841" t="s">
        <v>142</v>
      </c>
      <c r="CL20" s="841" t="s">
        <v>142</v>
      </c>
      <c r="CM20" s="841" t="s">
        <v>142</v>
      </c>
      <c r="CN20" s="841" t="s">
        <v>142</v>
      </c>
      <c r="CO20" s="841" t="s">
        <v>142</v>
      </c>
      <c r="CP20" s="841" t="s">
        <v>142</v>
      </c>
      <c r="CQ20" s="841" t="s">
        <v>146</v>
      </c>
      <c r="CR20" s="841" t="s">
        <v>142</v>
      </c>
      <c r="CS20" s="841" t="s">
        <v>142</v>
      </c>
      <c r="CT20" s="841" t="s">
        <v>142</v>
      </c>
      <c r="CU20" s="841" t="s">
        <v>142</v>
      </c>
      <c r="CV20" s="841" t="s">
        <v>142</v>
      </c>
      <c r="CW20" s="841" t="s">
        <v>142</v>
      </c>
      <c r="CX20" s="841" t="s">
        <v>142</v>
      </c>
      <c r="CY20" s="841" t="s">
        <v>142</v>
      </c>
      <c r="CZ20" s="865" t="s">
        <v>142</v>
      </c>
      <c r="DA20" s="543" t="s">
        <v>154</v>
      </c>
      <c r="DB20" s="837" t="s">
        <v>155</v>
      </c>
      <c r="DC20" s="837" t="s">
        <v>156</v>
      </c>
      <c r="DD20" s="837" t="s">
        <v>146</v>
      </c>
      <c r="DE20" s="837" t="s">
        <v>157</v>
      </c>
      <c r="DF20" s="837" t="s">
        <v>146</v>
      </c>
      <c r="DG20" s="866"/>
      <c r="DH20" s="866"/>
      <c r="DI20" s="867"/>
      <c r="DJ20" s="868"/>
      <c r="DK20" s="869" t="s">
        <v>146</v>
      </c>
      <c r="DL20" s="869" t="s">
        <v>146</v>
      </c>
      <c r="DM20" s="869" t="s">
        <v>146</v>
      </c>
      <c r="DN20" s="870" t="s">
        <v>2238</v>
      </c>
      <c r="DO20" s="871"/>
      <c r="DP20" s="871"/>
      <c r="DQ20" s="871"/>
      <c r="DR20" s="871"/>
      <c r="DS20" s="871"/>
    </row>
    <row r="21" spans="1:156" ht="121.5" customHeight="1">
      <c r="A21" s="48">
        <v>20</v>
      </c>
      <c r="B21" s="49">
        <v>202609</v>
      </c>
      <c r="C21" s="50" t="s">
        <v>574</v>
      </c>
      <c r="D21" s="50" t="s">
        <v>174</v>
      </c>
      <c r="E21" s="51">
        <v>5881</v>
      </c>
      <c r="F21" s="461" t="s">
        <v>134</v>
      </c>
      <c r="G21" s="462" t="s">
        <v>427</v>
      </c>
      <c r="H21" s="461" t="s">
        <v>514</v>
      </c>
      <c r="I21" s="647" t="s">
        <v>515</v>
      </c>
      <c r="J21" s="763"/>
      <c r="K21" s="764" t="s">
        <v>575</v>
      </c>
      <c r="L21" s="462"/>
      <c r="M21" s="652" t="s">
        <v>576</v>
      </c>
      <c r="N21" s="647" t="s">
        <v>577</v>
      </c>
      <c r="O21" s="192" t="s">
        <v>146</v>
      </c>
      <c r="P21" s="193" t="s">
        <v>146</v>
      </c>
      <c r="Q21" s="60" t="s">
        <v>434</v>
      </c>
      <c r="R21" s="194" t="str">
        <f>VLOOKUP(Sheet_1_Table_1_134[[#This Row],[Learning Domain]],[1]List!$A$7:$B$12,2,0)</f>
        <v>IED</v>
      </c>
      <c r="S21" s="461">
        <v>0</v>
      </c>
      <c r="T21" s="634">
        <v>0</v>
      </c>
      <c r="U21" s="634">
        <v>0</v>
      </c>
      <c r="V21" s="634">
        <v>0</v>
      </c>
      <c r="W21" s="634">
        <v>0</v>
      </c>
      <c r="X21" s="634">
        <v>0</v>
      </c>
      <c r="Y21" s="634">
        <v>50</v>
      </c>
      <c r="Z21" s="634">
        <v>0</v>
      </c>
      <c r="AA21" s="634">
        <v>50</v>
      </c>
      <c r="AB21" s="53">
        <f>SUM(Sheet_1_Table_1_134[[#This Row],[Leadership LS]:[Career Development  CR]])</f>
        <v>100</v>
      </c>
      <c r="AC21" s="52" t="s">
        <v>144</v>
      </c>
      <c r="AD21" s="55" t="s">
        <v>386</v>
      </c>
      <c r="AE21" s="55" t="s">
        <v>142</v>
      </c>
      <c r="AF21" s="55" t="s">
        <v>146</v>
      </c>
      <c r="AG21" s="55" t="s">
        <v>142</v>
      </c>
      <c r="AH21" s="55">
        <v>2</v>
      </c>
      <c r="AI21" s="55">
        <v>100</v>
      </c>
      <c r="AJ21" s="62">
        <f>Sheet_1_Table_1_134[[#This Row],[ILP Units Per Session]]*Sheet_1_Table_1_134[[#This Row],[Quota]]</f>
        <v>200</v>
      </c>
      <c r="AK21" s="63">
        <v>46308</v>
      </c>
      <c r="AL21" s="64">
        <f>WEEKDAY(Sheet_1_Table_1_134[[#This Row],[Lesson 1 
Date 
(DD-MMM-YYYY)]])</f>
        <v>3</v>
      </c>
      <c r="AM21" s="65">
        <v>0.66666666666666663</v>
      </c>
      <c r="AN21" s="66">
        <v>0.75</v>
      </c>
      <c r="AO21" s="67" t="s">
        <v>182</v>
      </c>
      <c r="AP21" s="68"/>
      <c r="AQ21" s="64">
        <f>WEEKDAY(Sheet_1_Table_1_134[[#This Row],[Lesson 2
Date 
(DD-MMM-YYYY)]])</f>
        <v>7</v>
      </c>
      <c r="AR21" s="65"/>
      <c r="AS21" s="66"/>
      <c r="AT21" s="66"/>
      <c r="AU21" s="63"/>
      <c r="AV21" s="64">
        <f>WEEKDAY(Sheet_1_Table_1_134[[#This Row],[Lesson 3
Date 
(DD-MMM-YYYY)]])</f>
        <v>7</v>
      </c>
      <c r="AW21" s="65"/>
      <c r="AX21" s="66"/>
      <c r="AY21" s="67"/>
      <c r="AZ21" s="68"/>
      <c r="BA21" s="64">
        <f>WEEKDAY(Sheet_1_Table_1_134[[#This Row],[Lesson 4
Date 
(DD-MMM-YYYY)]])</f>
        <v>7</v>
      </c>
      <c r="BB21" s="65"/>
      <c r="BC21" s="66"/>
      <c r="BD21" s="66"/>
      <c r="BE21" s="63"/>
      <c r="BF21" s="64">
        <f>WEEKDAY(Sheet_1_Table_1_134[[#This Row],[Lesson 5
Date 
(DD-MMM-YYYY)]])</f>
        <v>7</v>
      </c>
      <c r="BG21" s="65"/>
      <c r="BH21" s="66"/>
      <c r="BI21" s="67"/>
      <c r="BJ21" s="68"/>
      <c r="BK21" s="64">
        <f>WEEKDAY(Sheet_1_Table_1_134[[#This Row],[Lesson 6
Date 
(DD-MMM-YYYY)]])</f>
        <v>7</v>
      </c>
      <c r="BL21" s="65"/>
      <c r="BM21" s="66"/>
      <c r="BN21" s="66"/>
      <c r="BO21" s="54" t="s">
        <v>163</v>
      </c>
      <c r="BP21" s="69" t="s">
        <v>520</v>
      </c>
      <c r="BQ21" s="56" t="s">
        <v>422</v>
      </c>
      <c r="BR21" s="57" t="s">
        <v>521</v>
      </c>
      <c r="BS21" s="52"/>
      <c r="BT21" s="56"/>
      <c r="BU21" s="56"/>
      <c r="BV21" s="70"/>
      <c r="BW21" s="60"/>
      <c r="BX21" s="71"/>
      <c r="BY21" s="56"/>
      <c r="BZ21" s="56"/>
      <c r="CA21" s="56"/>
      <c r="CB21" s="195" t="s">
        <v>578</v>
      </c>
      <c r="CC21" s="195" t="s">
        <v>579</v>
      </c>
      <c r="CD21" s="196">
        <v>42427592</v>
      </c>
      <c r="CE21" s="60" t="s">
        <v>440</v>
      </c>
      <c r="CF21" s="71" t="s">
        <v>441</v>
      </c>
      <c r="CG21" s="56" t="s">
        <v>442</v>
      </c>
      <c r="CH21" s="57" t="s">
        <v>443</v>
      </c>
      <c r="CI21" s="52" t="s">
        <v>146</v>
      </c>
      <c r="CJ21" s="52" t="s">
        <v>142</v>
      </c>
      <c r="CK21" s="52" t="s">
        <v>142</v>
      </c>
      <c r="CL21" s="52" t="s">
        <v>142</v>
      </c>
      <c r="CM21" s="52" t="s">
        <v>142</v>
      </c>
      <c r="CN21" s="52" t="s">
        <v>142</v>
      </c>
      <c r="CO21" s="52" t="s">
        <v>142</v>
      </c>
      <c r="CP21" s="52" t="s">
        <v>142</v>
      </c>
      <c r="CQ21" s="52" t="s">
        <v>146</v>
      </c>
      <c r="CR21" s="52" t="s">
        <v>146</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N21" s="790"/>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21</v>
      </c>
      <c r="B22" s="49">
        <v>202609</v>
      </c>
      <c r="C22" s="50" t="s">
        <v>580</v>
      </c>
      <c r="D22" s="50" t="s">
        <v>174</v>
      </c>
      <c r="E22" s="51">
        <v>5882</v>
      </c>
      <c r="F22" s="461" t="s">
        <v>134</v>
      </c>
      <c r="G22" s="462" t="s">
        <v>427</v>
      </c>
      <c r="H22" s="767" t="s">
        <v>428</v>
      </c>
      <c r="I22" s="635" t="s">
        <v>429</v>
      </c>
      <c r="J22" s="763"/>
      <c r="K22" s="643" t="s">
        <v>581</v>
      </c>
      <c r="L22" s="462"/>
      <c r="M22" s="652" t="s">
        <v>582</v>
      </c>
      <c r="N22" s="647" t="s">
        <v>583</v>
      </c>
      <c r="O22" s="192" t="s">
        <v>146</v>
      </c>
      <c r="P22" s="193" t="s">
        <v>146</v>
      </c>
      <c r="Q22" s="60" t="s">
        <v>434</v>
      </c>
      <c r="R22" s="200" t="str">
        <f>VLOOKUP(Sheet_1_Table_1_134[[#This Row],[Learning Domain]],[1]List!$A$7:$B$12,2,0)</f>
        <v>IED</v>
      </c>
      <c r="S22" s="461">
        <v>30</v>
      </c>
      <c r="T22" s="634">
        <v>0</v>
      </c>
      <c r="U22" s="634">
        <v>0</v>
      </c>
      <c r="V22" s="634">
        <v>0</v>
      </c>
      <c r="W22" s="634">
        <v>0</v>
      </c>
      <c r="X22" s="634">
        <v>0</v>
      </c>
      <c r="Y22" s="634">
        <v>0</v>
      </c>
      <c r="Z22" s="634">
        <v>0</v>
      </c>
      <c r="AA22" s="634">
        <v>70</v>
      </c>
      <c r="AB22" s="53">
        <f>SUM(Sheet_1_Table_1_134[[#This Row],[Leadership LS]:[Career Development  CR]])</f>
        <v>100</v>
      </c>
      <c r="AC22" s="52" t="s">
        <v>144</v>
      </c>
      <c r="AD22" s="55" t="s">
        <v>190</v>
      </c>
      <c r="AE22" s="55" t="s">
        <v>142</v>
      </c>
      <c r="AF22" s="55" t="s">
        <v>146</v>
      </c>
      <c r="AG22" s="55" t="s">
        <v>142</v>
      </c>
      <c r="AH22" s="55">
        <v>2</v>
      </c>
      <c r="AI22" s="55">
        <v>55</v>
      </c>
      <c r="AJ22" s="62">
        <f>Sheet_1_Table_1_134[[#This Row],[ILP Units Per Session]]*Sheet_1_Table_1_134[[#This Row],[Quota]]</f>
        <v>110</v>
      </c>
      <c r="AK22" s="63">
        <v>46309</v>
      </c>
      <c r="AL22" s="64">
        <f>WEEKDAY(Sheet_1_Table_1_134[[#This Row],[Lesson 1 
Date 
(DD-MMM-YYYY)]])</f>
        <v>4</v>
      </c>
      <c r="AM22" s="65">
        <v>0.6875</v>
      </c>
      <c r="AN22" s="66">
        <v>0.77083333333333337</v>
      </c>
      <c r="AO22" s="183" t="s">
        <v>584</v>
      </c>
      <c r="AP22" s="68"/>
      <c r="AQ22" s="64">
        <f>WEEKDAY(Sheet_1_Table_1_134[[#This Row],[Lesson 2
Date 
(DD-MMM-YYYY)]])</f>
        <v>7</v>
      </c>
      <c r="AR22" s="65"/>
      <c r="AS22" s="66"/>
      <c r="AT22" s="66"/>
      <c r="AU22" s="63"/>
      <c r="AV22" s="64">
        <f>WEEKDAY(Sheet_1_Table_1_134[[#This Row],[Lesson 3
Date 
(DD-MMM-YYYY)]])</f>
        <v>7</v>
      </c>
      <c r="AW22" s="65"/>
      <c r="AX22" s="66"/>
      <c r="AY22" s="67"/>
      <c r="AZ22" s="68"/>
      <c r="BA22" s="64">
        <f>WEEKDAY(Sheet_1_Table_1_134[[#This Row],[Lesson 4
Date 
(DD-MMM-YYYY)]])</f>
        <v>7</v>
      </c>
      <c r="BB22" s="65"/>
      <c r="BC22" s="66"/>
      <c r="BD22" s="66"/>
      <c r="BE22" s="63"/>
      <c r="BF22" s="64">
        <f>WEEKDAY(Sheet_1_Table_1_134[[#This Row],[Lesson 5
Date 
(DD-MMM-YYYY)]])</f>
        <v>7</v>
      </c>
      <c r="BG22" s="65"/>
      <c r="BH22" s="66"/>
      <c r="BI22" s="67"/>
      <c r="BJ22" s="68"/>
      <c r="BK22" s="64">
        <f>WEEKDAY(Sheet_1_Table_1_134[[#This Row],[Lesson 6
Date 
(DD-MMM-YYYY)]])</f>
        <v>7</v>
      </c>
      <c r="BL22" s="65"/>
      <c r="BM22" s="66"/>
      <c r="BN22" s="66"/>
      <c r="BO22" s="54" t="s">
        <v>293</v>
      </c>
      <c r="BP22" s="69" t="s">
        <v>585</v>
      </c>
      <c r="BQ22" s="56" t="s">
        <v>586</v>
      </c>
      <c r="BR22" s="57" t="s">
        <v>587</v>
      </c>
      <c r="BS22" s="52"/>
      <c r="BT22" s="56"/>
      <c r="BU22" s="56"/>
      <c r="BV22" s="70"/>
      <c r="BW22" s="60"/>
      <c r="BX22" s="71"/>
      <c r="BY22" s="56"/>
      <c r="BZ22" s="56"/>
      <c r="CA22" s="56"/>
      <c r="CB22" s="72"/>
      <c r="CC22" s="72"/>
      <c r="CD22" s="71"/>
      <c r="CE22" s="60" t="s">
        <v>440</v>
      </c>
      <c r="CF22" s="71" t="s">
        <v>441</v>
      </c>
      <c r="CG22" s="56" t="s">
        <v>442</v>
      </c>
      <c r="CH22" s="57" t="s">
        <v>443</v>
      </c>
      <c r="CI22" s="52" t="s">
        <v>146</v>
      </c>
      <c r="CJ22" s="52" t="s">
        <v>142</v>
      </c>
      <c r="CK22" s="52" t="s">
        <v>142</v>
      </c>
      <c r="CL22" s="52" t="s">
        <v>142</v>
      </c>
      <c r="CM22" s="52" t="s">
        <v>142</v>
      </c>
      <c r="CN22" s="52" t="s">
        <v>142</v>
      </c>
      <c r="CO22" s="52" t="s">
        <v>142</v>
      </c>
      <c r="CP22" s="52" t="s">
        <v>142</v>
      </c>
      <c r="CQ22" s="52" t="s">
        <v>146</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N22" s="790"/>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22</v>
      </c>
      <c r="B23" s="49">
        <v>202609</v>
      </c>
      <c r="C23" s="50" t="s">
        <v>588</v>
      </c>
      <c r="D23" s="50" t="s">
        <v>174</v>
      </c>
      <c r="E23" s="51">
        <v>5878</v>
      </c>
      <c r="F23" s="461" t="s">
        <v>134</v>
      </c>
      <c r="G23" s="462" t="s">
        <v>427</v>
      </c>
      <c r="H23" s="461" t="s">
        <v>428</v>
      </c>
      <c r="I23" s="647" t="s">
        <v>429</v>
      </c>
      <c r="J23" s="763" t="s">
        <v>589</v>
      </c>
      <c r="K23" s="764" t="s">
        <v>590</v>
      </c>
      <c r="L23" s="462"/>
      <c r="M23" s="652" t="s">
        <v>591</v>
      </c>
      <c r="N23" s="647" t="s">
        <v>592</v>
      </c>
      <c r="O23" s="192" t="s">
        <v>146</v>
      </c>
      <c r="P23" s="193" t="s">
        <v>146</v>
      </c>
      <c r="Q23" s="60" t="s">
        <v>434</v>
      </c>
      <c r="R23" s="194" t="str">
        <f>VLOOKUP(Sheet_1_Table_1_134[[#This Row],[Learning Domain]],[1]List!$A$7:$B$12,2,0)</f>
        <v>IED</v>
      </c>
      <c r="S23" s="461">
        <v>30</v>
      </c>
      <c r="T23" s="634">
        <v>0</v>
      </c>
      <c r="U23" s="634">
        <v>0</v>
      </c>
      <c r="V23" s="634">
        <v>0</v>
      </c>
      <c r="W23" s="634">
        <v>0</v>
      </c>
      <c r="X23" s="634">
        <v>0</v>
      </c>
      <c r="Y23" s="634">
        <v>0</v>
      </c>
      <c r="Z23" s="634">
        <v>0</v>
      </c>
      <c r="AA23" s="634">
        <v>70</v>
      </c>
      <c r="AB23" s="53">
        <f>SUM(Sheet_1_Table_1_134[[#This Row],[Leadership LS]:[Career Development  CR]])</f>
        <v>100</v>
      </c>
      <c r="AC23" s="52" t="s">
        <v>199</v>
      </c>
      <c r="AD23" s="55" t="s">
        <v>386</v>
      </c>
      <c r="AE23" s="55" t="s">
        <v>142</v>
      </c>
      <c r="AF23" s="55" t="s">
        <v>146</v>
      </c>
      <c r="AG23" s="55" t="s">
        <v>142</v>
      </c>
      <c r="AH23" s="55">
        <v>2</v>
      </c>
      <c r="AI23" s="55">
        <v>30</v>
      </c>
      <c r="AJ23" s="62">
        <f>Sheet_1_Table_1_134[[#This Row],[ILP Units Per Session]]*Sheet_1_Table_1_134[[#This Row],[Quota]]</f>
        <v>60</v>
      </c>
      <c r="AK23" s="63">
        <v>46310</v>
      </c>
      <c r="AL23" s="64">
        <f>WEEKDAY(Sheet_1_Table_1_134[[#This Row],[Lesson 1 
Date 
(DD-MMM-YYYY)]])</f>
        <v>5</v>
      </c>
      <c r="AM23" s="65">
        <v>0.72916666666666663</v>
      </c>
      <c r="AN23" s="66">
        <v>0.8125</v>
      </c>
      <c r="AO23" s="67" t="s">
        <v>182</v>
      </c>
      <c r="AP23" s="68"/>
      <c r="AQ23" s="64">
        <f>WEEKDAY(Sheet_1_Table_1_134[[#This Row],[Lesson 2
Date 
(DD-MMM-YYYY)]])</f>
        <v>7</v>
      </c>
      <c r="AR23" s="65"/>
      <c r="AS23" s="66"/>
      <c r="AT23" s="66"/>
      <c r="AU23" s="63"/>
      <c r="AV23" s="64">
        <f>WEEKDAY(Sheet_1_Table_1_134[[#This Row],[Lesson 3
Date 
(DD-MMM-YYYY)]])</f>
        <v>7</v>
      </c>
      <c r="AW23" s="65"/>
      <c r="AX23" s="66"/>
      <c r="AY23" s="67"/>
      <c r="AZ23" s="68"/>
      <c r="BA23" s="64">
        <f>WEEKDAY(Sheet_1_Table_1_134[[#This Row],[Lesson 4
Date 
(DD-MMM-YYYY)]])</f>
        <v>7</v>
      </c>
      <c r="BB23" s="65"/>
      <c r="BC23" s="66"/>
      <c r="BD23" s="66"/>
      <c r="BE23" s="63"/>
      <c r="BF23" s="64">
        <f>WEEKDAY(Sheet_1_Table_1_134[[#This Row],[Lesson 5
Date 
(DD-MMM-YYYY)]])</f>
        <v>7</v>
      </c>
      <c r="BG23" s="65"/>
      <c r="BH23" s="66"/>
      <c r="BI23" s="67"/>
      <c r="BJ23" s="68"/>
      <c r="BK23" s="64">
        <f>WEEKDAY(Sheet_1_Table_1_134[[#This Row],[Lesson 6
Date 
(DD-MMM-YYYY)]])</f>
        <v>7</v>
      </c>
      <c r="BL23" s="65"/>
      <c r="BM23" s="66"/>
      <c r="BN23" s="66"/>
      <c r="BO23" s="54" t="s">
        <v>293</v>
      </c>
      <c r="BP23" s="69" t="s">
        <v>529</v>
      </c>
      <c r="BQ23" s="56" t="s">
        <v>462</v>
      </c>
      <c r="BR23" s="57" t="s">
        <v>530</v>
      </c>
      <c r="BS23" s="52"/>
      <c r="BT23" s="56"/>
      <c r="BU23" s="56"/>
      <c r="BV23" s="70"/>
      <c r="BW23" s="60"/>
      <c r="BX23" s="71"/>
      <c r="BY23" s="56" t="s">
        <v>149</v>
      </c>
      <c r="BZ23" s="56"/>
      <c r="CA23" s="56" t="s">
        <v>149</v>
      </c>
      <c r="CB23" s="195" t="s">
        <v>593</v>
      </c>
      <c r="CC23" s="195" t="s">
        <v>594</v>
      </c>
      <c r="CD23" s="196">
        <v>9877070</v>
      </c>
      <c r="CE23" s="60" t="s">
        <v>440</v>
      </c>
      <c r="CF23" s="71" t="s">
        <v>441</v>
      </c>
      <c r="CG23" s="56" t="s">
        <v>442</v>
      </c>
      <c r="CH23" s="57" t="s">
        <v>443</v>
      </c>
      <c r="CI23" s="52" t="s">
        <v>146</v>
      </c>
      <c r="CJ23" s="52" t="s">
        <v>142</v>
      </c>
      <c r="CK23" s="52" t="s">
        <v>142</v>
      </c>
      <c r="CL23" s="52" t="s">
        <v>142</v>
      </c>
      <c r="CM23" s="52" t="s">
        <v>142</v>
      </c>
      <c r="CN23" s="52" t="s">
        <v>142</v>
      </c>
      <c r="CO23" s="52" t="s">
        <v>142</v>
      </c>
      <c r="CP23" s="52" t="s">
        <v>142</v>
      </c>
      <c r="CQ23" s="52" t="s">
        <v>146</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N23" s="790"/>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s="279" customFormat="1" ht="80.099999999999994" customHeight="1">
      <c r="A24" s="256">
        <v>23</v>
      </c>
      <c r="B24" s="50">
        <v>202609</v>
      </c>
      <c r="C24" s="50" t="s">
        <v>595</v>
      </c>
      <c r="D24" s="50" t="s">
        <v>174</v>
      </c>
      <c r="E24" s="51">
        <v>5916</v>
      </c>
      <c r="F24" s="550" t="s">
        <v>134</v>
      </c>
      <c r="G24" s="462" t="s">
        <v>427</v>
      </c>
      <c r="H24" s="97" t="s">
        <v>453</v>
      </c>
      <c r="I24" s="57" t="s">
        <v>454</v>
      </c>
      <c r="J24" s="60" t="s">
        <v>596</v>
      </c>
      <c r="K24" s="141" t="s">
        <v>597</v>
      </c>
      <c r="L24" s="53"/>
      <c r="M24" s="56" t="s">
        <v>598</v>
      </c>
      <c r="N24" s="57" t="s">
        <v>599</v>
      </c>
      <c r="O24" s="222" t="s">
        <v>146</v>
      </c>
      <c r="P24" s="96" t="s">
        <v>146</v>
      </c>
      <c r="Q24" s="60" t="s">
        <v>434</v>
      </c>
      <c r="R24" s="194" t="str">
        <f>VLOOKUP(Sheet_1_Table_1_134[[#This Row],[Learning Domain]],[1]List!$A$7:$B$12,2,0)</f>
        <v>IED</v>
      </c>
      <c r="S24" s="55">
        <v>0</v>
      </c>
      <c r="T24" s="55">
        <v>0</v>
      </c>
      <c r="U24" s="55">
        <v>0</v>
      </c>
      <c r="V24" s="55">
        <v>0</v>
      </c>
      <c r="W24" s="55">
        <v>0</v>
      </c>
      <c r="X24" s="55">
        <v>0</v>
      </c>
      <c r="Y24" s="55">
        <v>0</v>
      </c>
      <c r="Z24" s="55">
        <v>0</v>
      </c>
      <c r="AA24" s="55">
        <v>100</v>
      </c>
      <c r="AB24" s="53">
        <f>SUM(Sheet_1_Table_1_134[[#This Row],[Leadership LS]:[Career Development  CR]])</f>
        <v>100</v>
      </c>
      <c r="AC24" s="97" t="s">
        <v>144</v>
      </c>
      <c r="AD24" s="55" t="s">
        <v>190</v>
      </c>
      <c r="AE24" s="55" t="s">
        <v>146</v>
      </c>
      <c r="AF24" s="55" t="s">
        <v>142</v>
      </c>
      <c r="AG24" s="55" t="s">
        <v>142</v>
      </c>
      <c r="AH24" s="55">
        <v>2</v>
      </c>
      <c r="AI24" s="55">
        <v>70</v>
      </c>
      <c r="AJ24" s="62">
        <f>Sheet_1_Table_1_134[[#This Row],[ILP Units Per Session]]*Sheet_1_Table_1_134[[#This Row],[Quota]]</f>
        <v>140</v>
      </c>
      <c r="AK24" s="283">
        <v>46310</v>
      </c>
      <c r="AL24" s="64">
        <f>WEEKDAY(Sheet_1_Table_1_134[[#This Row],[Lesson 1 
Date 
(DD-MMM-YYYY)]])</f>
        <v>5</v>
      </c>
      <c r="AM24" s="65">
        <v>0.66666666666666663</v>
      </c>
      <c r="AN24" s="66">
        <v>0.75</v>
      </c>
      <c r="AO24" s="183" t="s">
        <v>538</v>
      </c>
      <c r="AP24" s="68"/>
      <c r="AQ24" s="64">
        <f>WEEKDAY(Sheet_1_Table_1_134[[#This Row],[Lesson 2
Date 
(DD-MMM-YYYY)]])</f>
        <v>7</v>
      </c>
      <c r="AR24" s="65"/>
      <c r="AS24" s="66"/>
      <c r="AT24" s="126"/>
      <c r="AU24" s="63"/>
      <c r="AV24" s="64">
        <f>WEEKDAY(Sheet_1_Table_1_134[[#This Row],[Lesson 3
Date 
(DD-MMM-YYYY)]])</f>
        <v>7</v>
      </c>
      <c r="AW24" s="65"/>
      <c r="AX24" s="66"/>
      <c r="AY24" s="126"/>
      <c r="AZ24" s="98"/>
      <c r="BA24" s="64">
        <f>WEEKDAY(Sheet_1_Table_1_134[[#This Row],[Lesson 4
Date 
(DD-MMM-YYYY)]])</f>
        <v>7</v>
      </c>
      <c r="BB24" s="65"/>
      <c r="BC24" s="66"/>
      <c r="BD24" s="126"/>
      <c r="BE24" s="63"/>
      <c r="BF24" s="64">
        <f>WEEKDAY(Sheet_1_Table_1_134[[#This Row],[Lesson 5
Date 
(DD-MMM-YYYY)]])</f>
        <v>7</v>
      </c>
      <c r="BG24" s="65"/>
      <c r="BH24" s="66"/>
      <c r="BI24" s="126"/>
      <c r="BJ24" s="98"/>
      <c r="BK24" s="64">
        <f>WEEKDAY(Sheet_1_Table_1_134[[#This Row],[Lesson 6
Date 
(DD-MMM-YYYY)]])</f>
        <v>7</v>
      </c>
      <c r="BL24" s="65"/>
      <c r="BM24" s="66"/>
      <c r="BN24" s="99"/>
      <c r="BO24" s="54" t="s">
        <v>163</v>
      </c>
      <c r="BP24" s="69" t="s">
        <v>600</v>
      </c>
      <c r="BQ24" s="56" t="s">
        <v>601</v>
      </c>
      <c r="BR24" s="57" t="s">
        <v>602</v>
      </c>
      <c r="BS24" s="54"/>
      <c r="BT24" s="56"/>
      <c r="BU24" s="56"/>
      <c r="BV24" s="57"/>
      <c r="BW24" s="60"/>
      <c r="BX24" s="187"/>
      <c r="BY24" s="56"/>
      <c r="BZ24" s="56"/>
      <c r="CA24" s="56"/>
      <c r="CB24" s="72"/>
      <c r="CC24" s="72"/>
      <c r="CD24" s="72"/>
      <c r="CE24" s="173" t="s">
        <v>440</v>
      </c>
      <c r="CF24" s="195" t="s">
        <v>441</v>
      </c>
      <c r="CG24" s="69" t="s">
        <v>271</v>
      </c>
      <c r="CH24" s="137" t="s">
        <v>272</v>
      </c>
      <c r="CI24" s="55" t="s">
        <v>146</v>
      </c>
      <c r="CJ24" s="55" t="s">
        <v>142</v>
      </c>
      <c r="CK24" s="55" t="s">
        <v>142</v>
      </c>
      <c r="CL24" s="55" t="s">
        <v>142</v>
      </c>
      <c r="CM24" s="55" t="s">
        <v>142</v>
      </c>
      <c r="CN24" s="55" t="s">
        <v>142</v>
      </c>
      <c r="CO24" s="55" t="s">
        <v>142</v>
      </c>
      <c r="CP24" s="55" t="s">
        <v>142</v>
      </c>
      <c r="CQ24" s="55" t="s">
        <v>146</v>
      </c>
      <c r="CR24" s="55" t="s">
        <v>146</v>
      </c>
      <c r="CS24" s="55" t="s">
        <v>142</v>
      </c>
      <c r="CT24" s="55" t="s">
        <v>142</v>
      </c>
      <c r="CU24" s="55" t="s">
        <v>142</v>
      </c>
      <c r="CV24" s="55" t="s">
        <v>142</v>
      </c>
      <c r="CW24" s="55" t="s">
        <v>142</v>
      </c>
      <c r="CX24" s="55" t="s">
        <v>142</v>
      </c>
      <c r="CY24" s="55" t="s">
        <v>142</v>
      </c>
      <c r="CZ24" s="96" t="s">
        <v>142</v>
      </c>
      <c r="DA24" s="54" t="s">
        <v>154</v>
      </c>
      <c r="DB24" s="50" t="s">
        <v>155</v>
      </c>
      <c r="DC24" s="50" t="s">
        <v>156</v>
      </c>
      <c r="DD24" s="50" t="s">
        <v>146</v>
      </c>
      <c r="DE24" s="50" t="s">
        <v>157</v>
      </c>
      <c r="DF24" s="50" t="s">
        <v>146</v>
      </c>
      <c r="DG24" s="73"/>
      <c r="DH24" s="73"/>
      <c r="DI24" s="75"/>
      <c r="DJ24" s="75"/>
      <c r="DK24" s="76" t="s">
        <v>146</v>
      </c>
      <c r="DL24" s="76" t="s">
        <v>146</v>
      </c>
      <c r="DM24" s="76" t="s">
        <v>146</v>
      </c>
      <c r="DN24" s="791"/>
      <c r="DO24" s="278"/>
      <c r="DP24" s="278"/>
      <c r="DQ24" s="278"/>
      <c r="DR24" s="278"/>
      <c r="DS24" s="278"/>
    </row>
    <row r="25" spans="1:156" s="279" customFormat="1" ht="80.099999999999994" customHeight="1">
      <c r="A25" s="256">
        <v>24</v>
      </c>
      <c r="B25" s="50">
        <v>202609</v>
      </c>
      <c r="C25" s="50" t="s">
        <v>603</v>
      </c>
      <c r="D25" s="50" t="s">
        <v>174</v>
      </c>
      <c r="E25" s="51">
        <v>5872</v>
      </c>
      <c r="F25" s="550" t="s">
        <v>134</v>
      </c>
      <c r="G25" s="462" t="s">
        <v>427</v>
      </c>
      <c r="H25" s="219" t="s">
        <v>428</v>
      </c>
      <c r="I25" s="635" t="s">
        <v>429</v>
      </c>
      <c r="J25" s="643" t="s">
        <v>604</v>
      </c>
      <c r="K25" s="764" t="s">
        <v>605</v>
      </c>
      <c r="L25" s="462"/>
      <c r="M25" s="630" t="s">
        <v>606</v>
      </c>
      <c r="N25" s="635" t="s">
        <v>607</v>
      </c>
      <c r="O25" s="222" t="s">
        <v>146</v>
      </c>
      <c r="P25" s="96" t="s">
        <v>146</v>
      </c>
      <c r="Q25" s="60" t="s">
        <v>434</v>
      </c>
      <c r="R25" s="194" t="str">
        <f>VLOOKUP(Sheet_1_Table_1_134[[#This Row],[Learning Domain]],[1]List!$A$7:$B$12,2,0)</f>
        <v>IED</v>
      </c>
      <c r="S25" s="634">
        <v>40</v>
      </c>
      <c r="T25" s="634">
        <v>0</v>
      </c>
      <c r="U25" s="634">
        <v>0</v>
      </c>
      <c r="V25" s="634">
        <v>0</v>
      </c>
      <c r="W25" s="634">
        <v>0</v>
      </c>
      <c r="X25" s="634">
        <v>0</v>
      </c>
      <c r="Y25" s="634">
        <v>0</v>
      </c>
      <c r="Z25" s="634">
        <v>0</v>
      </c>
      <c r="AA25" s="634">
        <v>60</v>
      </c>
      <c r="AB25" s="53">
        <f>SUM(Sheet_1_Table_1_134[[#This Row],[Leadership LS]:[Career Development  CR]])</f>
        <v>100</v>
      </c>
      <c r="AC25" s="97" t="s">
        <v>199</v>
      </c>
      <c r="AD25" s="55" t="s">
        <v>386</v>
      </c>
      <c r="AE25" s="55" t="s">
        <v>142</v>
      </c>
      <c r="AF25" s="55" t="s">
        <v>146</v>
      </c>
      <c r="AG25" s="55" t="s">
        <v>142</v>
      </c>
      <c r="AH25" s="55">
        <v>2</v>
      </c>
      <c r="AI25" s="55">
        <v>100</v>
      </c>
      <c r="AJ25" s="62">
        <f>Sheet_1_Table_1_134[[#This Row],[ILP Units Per Session]]*Sheet_1_Table_1_134[[#This Row],[Quota]]</f>
        <v>200</v>
      </c>
      <c r="AK25" s="179">
        <v>46316</v>
      </c>
      <c r="AL25" s="64">
        <f>WEEKDAY(Sheet_1_Table_1_134[[#This Row],[Lesson 1 
Date 
(DD-MMM-YYYY)]])</f>
        <v>4</v>
      </c>
      <c r="AM25" s="65">
        <v>0.6875</v>
      </c>
      <c r="AN25" s="66">
        <v>0.77083333333333337</v>
      </c>
      <c r="AO25" s="67" t="s">
        <v>182</v>
      </c>
      <c r="AP25" s="68"/>
      <c r="AQ25" s="64">
        <f>WEEKDAY(Sheet_1_Table_1_134[[#This Row],[Lesson 2
Date 
(DD-MMM-YYYY)]])</f>
        <v>7</v>
      </c>
      <c r="AR25" s="65"/>
      <c r="AS25" s="66"/>
      <c r="AT25" s="126"/>
      <c r="AU25" s="63"/>
      <c r="AV25" s="64">
        <f>WEEKDAY(Sheet_1_Table_1_134[[#This Row],[Lesson 3
Date 
(DD-MMM-YYYY)]])</f>
        <v>7</v>
      </c>
      <c r="AW25" s="65"/>
      <c r="AX25" s="66"/>
      <c r="AY25" s="126"/>
      <c r="AZ25" s="98"/>
      <c r="BA25" s="64">
        <f>WEEKDAY(Sheet_1_Table_1_134[[#This Row],[Lesson 4
Date 
(DD-MMM-YYYY)]])</f>
        <v>7</v>
      </c>
      <c r="BB25" s="65"/>
      <c r="BC25" s="66"/>
      <c r="BD25" s="126"/>
      <c r="BE25" s="63"/>
      <c r="BF25" s="64">
        <f>WEEKDAY(Sheet_1_Table_1_134[[#This Row],[Lesson 5
Date 
(DD-MMM-YYYY)]])</f>
        <v>7</v>
      </c>
      <c r="BG25" s="65"/>
      <c r="BH25" s="66"/>
      <c r="BI25" s="126"/>
      <c r="BJ25" s="98"/>
      <c r="BK25" s="64">
        <f>WEEKDAY(Sheet_1_Table_1_134[[#This Row],[Lesson 6
Date 
(DD-MMM-YYYY)]])</f>
        <v>7</v>
      </c>
      <c r="BL25" s="65"/>
      <c r="BM25" s="66"/>
      <c r="BN25" s="99"/>
      <c r="BO25" s="54" t="s">
        <v>293</v>
      </c>
      <c r="BP25" s="69" t="s">
        <v>435</v>
      </c>
      <c r="BQ25" s="56" t="s">
        <v>436</v>
      </c>
      <c r="BR25" s="57" t="s">
        <v>437</v>
      </c>
      <c r="BS25" s="54"/>
      <c r="BT25" s="56"/>
      <c r="BU25" s="56"/>
      <c r="BV25" s="57"/>
      <c r="BW25" s="60"/>
      <c r="BX25" s="187"/>
      <c r="BY25" s="56"/>
      <c r="BZ25" s="56"/>
      <c r="CA25" s="56"/>
      <c r="CB25" s="195" t="s">
        <v>608</v>
      </c>
      <c r="CC25" s="195" t="s">
        <v>609</v>
      </c>
      <c r="CD25" s="195">
        <v>81016095</v>
      </c>
      <c r="CE25" s="60" t="s">
        <v>440</v>
      </c>
      <c r="CF25" s="72" t="s">
        <v>441</v>
      </c>
      <c r="CG25" s="56" t="s">
        <v>442</v>
      </c>
      <c r="CH25" s="57" t="s">
        <v>443</v>
      </c>
      <c r="CI25" s="55" t="s">
        <v>146</v>
      </c>
      <c r="CJ25" s="55" t="s">
        <v>142</v>
      </c>
      <c r="CK25" s="55" t="s">
        <v>142</v>
      </c>
      <c r="CL25" s="55" t="s">
        <v>142</v>
      </c>
      <c r="CM25" s="55" t="s">
        <v>142</v>
      </c>
      <c r="CN25" s="55" t="s">
        <v>142</v>
      </c>
      <c r="CO25" s="55" t="s">
        <v>142</v>
      </c>
      <c r="CP25" s="55" t="s">
        <v>142</v>
      </c>
      <c r="CQ25" s="55" t="s">
        <v>146</v>
      </c>
      <c r="CR25" s="55" t="s">
        <v>142</v>
      </c>
      <c r="CS25" s="55" t="s">
        <v>142</v>
      </c>
      <c r="CT25" s="55" t="s">
        <v>142</v>
      </c>
      <c r="CU25" s="55" t="s">
        <v>142</v>
      </c>
      <c r="CV25" s="55" t="s">
        <v>142</v>
      </c>
      <c r="CW25" s="55" t="s">
        <v>142</v>
      </c>
      <c r="CX25" s="55" t="s">
        <v>142</v>
      </c>
      <c r="CY25" s="55" t="s">
        <v>142</v>
      </c>
      <c r="CZ25" s="96" t="s">
        <v>142</v>
      </c>
      <c r="DA25" s="54" t="s">
        <v>154</v>
      </c>
      <c r="DB25" s="50" t="s">
        <v>155</v>
      </c>
      <c r="DC25" s="50" t="s">
        <v>156</v>
      </c>
      <c r="DD25" s="50" t="s">
        <v>146</v>
      </c>
      <c r="DE25" s="50" t="s">
        <v>157</v>
      </c>
      <c r="DF25" s="50" t="s">
        <v>146</v>
      </c>
      <c r="DG25" s="73"/>
      <c r="DH25" s="73"/>
      <c r="DI25" s="75"/>
      <c r="DJ25" s="75"/>
      <c r="DK25" s="76" t="s">
        <v>146</v>
      </c>
      <c r="DL25" s="76" t="s">
        <v>146</v>
      </c>
      <c r="DM25" s="76" t="s">
        <v>146</v>
      </c>
      <c r="DN25" s="791"/>
      <c r="DO25" s="278"/>
      <c r="DP25" s="278"/>
      <c r="DQ25" s="278"/>
      <c r="DR25" s="278"/>
      <c r="DS25" s="278"/>
    </row>
    <row r="26" spans="1:156" ht="80.099999999999994" customHeight="1">
      <c r="A26" s="48">
        <v>25</v>
      </c>
      <c r="B26" s="49">
        <v>202609</v>
      </c>
      <c r="C26" s="50" t="s">
        <v>610</v>
      </c>
      <c r="D26" s="50" t="s">
        <v>133</v>
      </c>
      <c r="E26" s="51">
        <v>5891</v>
      </c>
      <c r="F26" s="461" t="s">
        <v>134</v>
      </c>
      <c r="G26" s="462" t="s">
        <v>427</v>
      </c>
      <c r="H26" s="767" t="s">
        <v>428</v>
      </c>
      <c r="I26" s="635" t="s">
        <v>429</v>
      </c>
      <c r="J26" s="763" t="s">
        <v>471</v>
      </c>
      <c r="K26" s="764" t="s">
        <v>472</v>
      </c>
      <c r="L26" s="462" t="s">
        <v>611</v>
      </c>
      <c r="M26" s="652" t="s">
        <v>474</v>
      </c>
      <c r="N26" s="647" t="s">
        <v>556</v>
      </c>
      <c r="O26" s="220" t="s">
        <v>142</v>
      </c>
      <c r="P26" s="221" t="s">
        <v>142</v>
      </c>
      <c r="Q26" s="60" t="s">
        <v>434</v>
      </c>
      <c r="R26" s="200" t="str">
        <f>VLOOKUP(Sheet_1_Table_1_134[[#This Row],[Learning Domain]],[1]List!$A$7:$B$12,2,0)</f>
        <v>IED</v>
      </c>
      <c r="S26" s="52">
        <v>30</v>
      </c>
      <c r="T26" s="55">
        <v>0</v>
      </c>
      <c r="U26" s="55">
        <v>0</v>
      </c>
      <c r="V26" s="55">
        <v>0</v>
      </c>
      <c r="W26" s="55">
        <v>70</v>
      </c>
      <c r="X26" s="55">
        <v>0</v>
      </c>
      <c r="Y26" s="55">
        <v>0</v>
      </c>
      <c r="Z26" s="55">
        <v>0</v>
      </c>
      <c r="AA26" s="55">
        <v>0</v>
      </c>
      <c r="AB26" s="53">
        <f>SUM(Sheet_1_Table_1_134[[#This Row],[Leadership LS]:[Career Development  CR]])</f>
        <v>100</v>
      </c>
      <c r="AC26" s="97" t="s">
        <v>144</v>
      </c>
      <c r="AD26" s="174" t="s">
        <v>190</v>
      </c>
      <c r="AE26" s="55" t="s">
        <v>146</v>
      </c>
      <c r="AF26" s="55" t="s">
        <v>142</v>
      </c>
      <c r="AG26" s="55" t="s">
        <v>142</v>
      </c>
      <c r="AH26" s="174">
        <v>1.5</v>
      </c>
      <c r="AI26" s="174">
        <v>25</v>
      </c>
      <c r="AJ26" s="62">
        <f>Sheet_1_Table_1_134[[#This Row],[ILP Units Per Session]]*Sheet_1_Table_1_134[[#This Row],[Quota]]</f>
        <v>37.5</v>
      </c>
      <c r="AK26" s="63">
        <v>46316</v>
      </c>
      <c r="AL26" s="64">
        <f>WEEKDAY(Sheet_1_Table_1_134[[#This Row],[Lesson 1 
Date 
(DD-MMM-YYYY)]])</f>
        <v>4</v>
      </c>
      <c r="AM26" s="65">
        <v>0.79166666666666663</v>
      </c>
      <c r="AN26" s="66">
        <v>0.875</v>
      </c>
      <c r="AO26" s="183" t="s">
        <v>476</v>
      </c>
      <c r="AP26" s="68"/>
      <c r="AQ26" s="64">
        <f>WEEKDAY(Sheet_1_Table_1_134[[#This Row],[Lesson 2
Date 
(DD-MMM-YYYY)]])</f>
        <v>7</v>
      </c>
      <c r="AR26" s="65"/>
      <c r="AS26" s="66"/>
      <c r="AT26" s="126"/>
      <c r="AU26" s="63"/>
      <c r="AV26" s="64">
        <f>WEEKDAY(Sheet_1_Table_1_134[[#This Row],[Lesson 3
Date 
(DD-MMM-YYYY)]])</f>
        <v>7</v>
      </c>
      <c r="AW26" s="65"/>
      <c r="AX26" s="66"/>
      <c r="AY26" s="126"/>
      <c r="AZ26" s="98"/>
      <c r="BA26" s="64">
        <f>WEEKDAY(Sheet_1_Table_1_134[[#This Row],[Lesson 4
Date 
(DD-MMM-YYYY)]])</f>
        <v>7</v>
      </c>
      <c r="BB26" s="65"/>
      <c r="BC26" s="66"/>
      <c r="BD26" s="126"/>
      <c r="BE26" s="63"/>
      <c r="BF26" s="64">
        <f>WEEKDAY(Sheet_1_Table_1_134[[#This Row],[Lesson 5
Date 
(DD-MMM-YYYY)]])</f>
        <v>7</v>
      </c>
      <c r="BG26" s="65"/>
      <c r="BH26" s="66"/>
      <c r="BI26" s="126"/>
      <c r="BJ26" s="98"/>
      <c r="BK26" s="64">
        <f>WEEKDAY(Sheet_1_Table_1_134[[#This Row],[Lesson 6
Date 
(DD-MMM-YYYY)]])</f>
        <v>7</v>
      </c>
      <c r="BL26" s="65"/>
      <c r="BM26" s="66"/>
      <c r="BN26" s="99"/>
      <c r="BO26" s="54"/>
      <c r="BP26" s="69" t="s">
        <v>477</v>
      </c>
      <c r="BQ26" s="56"/>
      <c r="BR26" s="57"/>
      <c r="BS26" s="54"/>
      <c r="BT26" s="56"/>
      <c r="BU26" s="56"/>
      <c r="BV26" s="57"/>
      <c r="BW26" s="60"/>
      <c r="BX26" s="187"/>
      <c r="BY26" s="56"/>
      <c r="BZ26" s="56"/>
      <c r="CA26" s="56"/>
      <c r="CB26" s="72"/>
      <c r="CC26" s="72"/>
      <c r="CD26" s="72"/>
      <c r="CE26" s="60" t="s">
        <v>440</v>
      </c>
      <c r="CF26" s="72" t="s">
        <v>441</v>
      </c>
      <c r="CG26" s="56" t="s">
        <v>478</v>
      </c>
      <c r="CH26" s="57" t="s">
        <v>479</v>
      </c>
      <c r="CI26" s="52" t="s">
        <v>142</v>
      </c>
      <c r="CJ26" s="52" t="s">
        <v>142</v>
      </c>
      <c r="CK26" s="52" t="s">
        <v>142</v>
      </c>
      <c r="CL26" s="52" t="s">
        <v>142</v>
      </c>
      <c r="CM26" s="52" t="s">
        <v>146</v>
      </c>
      <c r="CN26" s="52" t="s">
        <v>146</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N26" s="790"/>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26</v>
      </c>
      <c r="B27" s="49">
        <v>202609</v>
      </c>
      <c r="C27" s="50" t="s">
        <v>612</v>
      </c>
      <c r="D27" s="50" t="s">
        <v>174</v>
      </c>
      <c r="E27" s="51">
        <v>5905</v>
      </c>
      <c r="F27" s="461" t="s">
        <v>134</v>
      </c>
      <c r="G27" s="462" t="s">
        <v>427</v>
      </c>
      <c r="H27" s="767" t="s">
        <v>428</v>
      </c>
      <c r="I27" s="635" t="s">
        <v>429</v>
      </c>
      <c r="J27" s="763"/>
      <c r="K27" s="764" t="s">
        <v>613</v>
      </c>
      <c r="L27" s="462"/>
      <c r="M27" s="72" t="s">
        <v>614</v>
      </c>
      <c r="N27" s="70" t="s">
        <v>615</v>
      </c>
      <c r="O27" s="192" t="s">
        <v>146</v>
      </c>
      <c r="P27" s="193" t="s">
        <v>146</v>
      </c>
      <c r="Q27" s="60" t="s">
        <v>434</v>
      </c>
      <c r="R27" s="194" t="str">
        <f>VLOOKUP(Sheet_1_Table_1_134[[#This Row],[Learning Domain]],[1]List!$A$7:$B$12,2,0)</f>
        <v>IED</v>
      </c>
      <c r="S27" s="461">
        <v>0</v>
      </c>
      <c r="T27" s="634">
        <v>0</v>
      </c>
      <c r="U27" s="634">
        <v>0</v>
      </c>
      <c r="V27" s="634">
        <v>0</v>
      </c>
      <c r="W27" s="634">
        <v>0</v>
      </c>
      <c r="X27" s="634">
        <v>0</v>
      </c>
      <c r="Y27" s="634">
        <v>0</v>
      </c>
      <c r="Z27" s="634">
        <v>0</v>
      </c>
      <c r="AA27" s="634">
        <v>100</v>
      </c>
      <c r="AB27" s="53">
        <f>SUM(Sheet_1_Table_1_134[[#This Row],[Leadership LS]:[Career Development  CR]])</f>
        <v>100</v>
      </c>
      <c r="AC27" s="97" t="s">
        <v>199</v>
      </c>
      <c r="AD27" s="55" t="s">
        <v>190</v>
      </c>
      <c r="AE27" s="55" t="s">
        <v>146</v>
      </c>
      <c r="AF27" s="55" t="s">
        <v>142</v>
      </c>
      <c r="AG27" s="55" t="s">
        <v>142</v>
      </c>
      <c r="AH27" s="55">
        <v>1</v>
      </c>
      <c r="AI27" s="55">
        <v>70</v>
      </c>
      <c r="AJ27" s="62">
        <f>Sheet_1_Table_1_134[[#This Row],[ILP Units Per Session]]*Sheet_1_Table_1_134[[#This Row],[Quota]]</f>
        <v>70</v>
      </c>
      <c r="AK27" s="63">
        <v>46316</v>
      </c>
      <c r="AL27" s="64">
        <f>WEEKDAY(Sheet_1_Table_1_134[[#This Row],[Lesson 1 
Date 
(DD-MMM-YYYY)]])</f>
        <v>4</v>
      </c>
      <c r="AM27" s="65">
        <v>0.66666666666666663</v>
      </c>
      <c r="AN27" s="66">
        <v>0.70833333333333337</v>
      </c>
      <c r="AO27" s="183" t="s">
        <v>485</v>
      </c>
      <c r="AP27" s="68"/>
      <c r="AQ27" s="64">
        <f>WEEKDAY(Sheet_1_Table_1_134[[#This Row],[Lesson 2
Date 
(DD-MMM-YYYY)]])</f>
        <v>7</v>
      </c>
      <c r="AR27" s="65"/>
      <c r="AS27" s="66"/>
      <c r="AT27" s="126"/>
      <c r="AU27" s="63"/>
      <c r="AV27" s="64">
        <f>WEEKDAY(Sheet_1_Table_1_134[[#This Row],[Lesson 3
Date 
(DD-MMM-YYYY)]])</f>
        <v>7</v>
      </c>
      <c r="AW27" s="65"/>
      <c r="AX27" s="66"/>
      <c r="AY27" s="126"/>
      <c r="AZ27" s="98"/>
      <c r="BA27" s="64">
        <f>WEEKDAY(Sheet_1_Table_1_134[[#This Row],[Lesson 4
Date 
(DD-MMM-YYYY)]])</f>
        <v>7</v>
      </c>
      <c r="BB27" s="65"/>
      <c r="BC27" s="66"/>
      <c r="BD27" s="126"/>
      <c r="BE27" s="63"/>
      <c r="BF27" s="64">
        <f>WEEKDAY(Sheet_1_Table_1_134[[#This Row],[Lesson 5
Date 
(DD-MMM-YYYY)]])</f>
        <v>7</v>
      </c>
      <c r="BG27" s="65"/>
      <c r="BH27" s="66"/>
      <c r="BI27" s="126"/>
      <c r="BJ27" s="98"/>
      <c r="BK27" s="64">
        <f>WEEKDAY(Sheet_1_Table_1_134[[#This Row],[Lesson 6
Date 
(DD-MMM-YYYY)]])</f>
        <v>7</v>
      </c>
      <c r="BL27" s="65"/>
      <c r="BM27" s="66"/>
      <c r="BN27" s="99"/>
      <c r="BO27" s="54" t="s">
        <v>293</v>
      </c>
      <c r="BP27" s="69" t="s">
        <v>547</v>
      </c>
      <c r="BQ27" s="56" t="s">
        <v>548</v>
      </c>
      <c r="BR27" s="57" t="s">
        <v>549</v>
      </c>
      <c r="BS27" s="54"/>
      <c r="BT27" s="56"/>
      <c r="BU27" s="56"/>
      <c r="BV27" s="57"/>
      <c r="BW27" s="60"/>
      <c r="BX27" s="187"/>
      <c r="BY27" s="56"/>
      <c r="BZ27" s="56"/>
      <c r="CA27" s="56"/>
      <c r="CB27" s="72"/>
      <c r="CC27" s="72"/>
      <c r="CD27" s="72"/>
      <c r="CE27" s="60" t="s">
        <v>440</v>
      </c>
      <c r="CF27" s="72" t="s">
        <v>441</v>
      </c>
      <c r="CG27" s="56" t="s">
        <v>271</v>
      </c>
      <c r="CH27" s="57" t="s">
        <v>272</v>
      </c>
      <c r="CI27" s="52" t="s">
        <v>146</v>
      </c>
      <c r="CJ27" s="52" t="s">
        <v>142</v>
      </c>
      <c r="CK27" s="52" t="s">
        <v>142</v>
      </c>
      <c r="CL27" s="52" t="s">
        <v>142</v>
      </c>
      <c r="CM27" s="52" t="s">
        <v>142</v>
      </c>
      <c r="CN27" s="52" t="s">
        <v>142</v>
      </c>
      <c r="CO27" s="52" t="s">
        <v>142</v>
      </c>
      <c r="CP27" s="52" t="s">
        <v>142</v>
      </c>
      <c r="CQ27" s="52" t="s">
        <v>146</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N27" s="790"/>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27</v>
      </c>
      <c r="B28" s="49">
        <v>202609</v>
      </c>
      <c r="C28" s="50" t="s">
        <v>616</v>
      </c>
      <c r="D28" s="50" t="s">
        <v>174</v>
      </c>
      <c r="E28" s="51">
        <v>5906</v>
      </c>
      <c r="F28" s="461" t="s">
        <v>134</v>
      </c>
      <c r="G28" s="462" t="s">
        <v>427</v>
      </c>
      <c r="H28" s="767" t="s">
        <v>428</v>
      </c>
      <c r="I28" s="635" t="s">
        <v>429</v>
      </c>
      <c r="J28" s="763"/>
      <c r="K28" s="764" t="s">
        <v>617</v>
      </c>
      <c r="L28" s="462"/>
      <c r="M28" s="72" t="s">
        <v>618</v>
      </c>
      <c r="N28" s="70" t="s">
        <v>619</v>
      </c>
      <c r="O28" s="192" t="s">
        <v>146</v>
      </c>
      <c r="P28" s="193" t="s">
        <v>146</v>
      </c>
      <c r="Q28" s="60" t="s">
        <v>434</v>
      </c>
      <c r="R28" s="200" t="str">
        <f>VLOOKUP(Sheet_1_Table_1_134[[#This Row],[Learning Domain]],[1]List!$A$7:$B$12,2,0)</f>
        <v>IED</v>
      </c>
      <c r="S28" s="461">
        <v>0</v>
      </c>
      <c r="T28" s="634">
        <v>0</v>
      </c>
      <c r="U28" s="634">
        <v>0</v>
      </c>
      <c r="V28" s="634">
        <v>0</v>
      </c>
      <c r="W28" s="634">
        <v>0</v>
      </c>
      <c r="X28" s="634">
        <v>0</v>
      </c>
      <c r="Y28" s="634">
        <v>0</v>
      </c>
      <c r="Z28" s="634">
        <v>0</v>
      </c>
      <c r="AA28" s="634">
        <v>100</v>
      </c>
      <c r="AB28" s="53">
        <f>SUM(Sheet_1_Table_1_134[[#This Row],[Leadership LS]:[Career Development  CR]])</f>
        <v>100</v>
      </c>
      <c r="AC28" s="97" t="s">
        <v>199</v>
      </c>
      <c r="AD28" s="55" t="s">
        <v>190</v>
      </c>
      <c r="AE28" s="55" t="s">
        <v>146</v>
      </c>
      <c r="AF28" s="55" t="s">
        <v>142</v>
      </c>
      <c r="AG28" s="55" t="s">
        <v>142</v>
      </c>
      <c r="AH28" s="55">
        <v>1</v>
      </c>
      <c r="AI28" s="55">
        <v>70</v>
      </c>
      <c r="AJ28" s="62">
        <f>Sheet_1_Table_1_134[[#This Row],[ILP Units Per Session]]*Sheet_1_Table_1_134[[#This Row],[Quota]]</f>
        <v>70</v>
      </c>
      <c r="AK28" s="63">
        <v>46316</v>
      </c>
      <c r="AL28" s="64">
        <f>WEEKDAY(Sheet_1_Table_1_134[[#This Row],[Lesson 1 
Date 
(DD-MMM-YYYY)]])</f>
        <v>4</v>
      </c>
      <c r="AM28" s="65">
        <v>0.72916666666666663</v>
      </c>
      <c r="AN28" s="66">
        <v>0.77083333333333337</v>
      </c>
      <c r="AO28" s="183" t="s">
        <v>485</v>
      </c>
      <c r="AP28" s="68"/>
      <c r="AQ28" s="64">
        <f>WEEKDAY(Sheet_1_Table_1_134[[#This Row],[Lesson 2
Date 
(DD-MMM-YYYY)]])</f>
        <v>7</v>
      </c>
      <c r="AR28" s="65"/>
      <c r="AS28" s="66"/>
      <c r="AT28" s="126"/>
      <c r="AU28" s="63"/>
      <c r="AV28" s="64">
        <f>WEEKDAY(Sheet_1_Table_1_134[[#This Row],[Lesson 3
Date 
(DD-MMM-YYYY)]])</f>
        <v>7</v>
      </c>
      <c r="AW28" s="65"/>
      <c r="AX28" s="66"/>
      <c r="AY28" s="126"/>
      <c r="AZ28" s="98"/>
      <c r="BA28" s="64">
        <f>WEEKDAY(Sheet_1_Table_1_134[[#This Row],[Lesson 4
Date 
(DD-MMM-YYYY)]])</f>
        <v>7</v>
      </c>
      <c r="BB28" s="65"/>
      <c r="BC28" s="66"/>
      <c r="BD28" s="126"/>
      <c r="BE28" s="63"/>
      <c r="BF28" s="64">
        <f>WEEKDAY(Sheet_1_Table_1_134[[#This Row],[Lesson 5
Date 
(DD-MMM-YYYY)]])</f>
        <v>7</v>
      </c>
      <c r="BG28" s="65"/>
      <c r="BH28" s="66"/>
      <c r="BI28" s="126"/>
      <c r="BJ28" s="98"/>
      <c r="BK28" s="64">
        <f>WEEKDAY(Sheet_1_Table_1_134[[#This Row],[Lesson 6
Date 
(DD-MMM-YYYY)]])</f>
        <v>7</v>
      </c>
      <c r="BL28" s="65"/>
      <c r="BM28" s="66"/>
      <c r="BN28" s="99"/>
      <c r="BO28" s="54" t="s">
        <v>293</v>
      </c>
      <c r="BP28" s="69" t="s">
        <v>547</v>
      </c>
      <c r="BQ28" s="56" t="s">
        <v>548</v>
      </c>
      <c r="BR28" s="57" t="s">
        <v>549</v>
      </c>
      <c r="BS28" s="54"/>
      <c r="BT28" s="56"/>
      <c r="BU28" s="56"/>
      <c r="BV28" s="57"/>
      <c r="BW28" s="60"/>
      <c r="BX28" s="187"/>
      <c r="BY28" s="56"/>
      <c r="BZ28" s="56"/>
      <c r="CA28" s="56"/>
      <c r="CB28" s="72"/>
      <c r="CC28" s="72"/>
      <c r="CD28" s="72"/>
      <c r="CE28" s="60" t="s">
        <v>440</v>
      </c>
      <c r="CF28" s="72" t="s">
        <v>441</v>
      </c>
      <c r="CG28" s="56" t="s">
        <v>271</v>
      </c>
      <c r="CH28" s="57" t="s">
        <v>272</v>
      </c>
      <c r="CI28" s="52" t="s">
        <v>146</v>
      </c>
      <c r="CJ28" s="52" t="s">
        <v>142</v>
      </c>
      <c r="CK28" s="52" t="s">
        <v>142</v>
      </c>
      <c r="CL28" s="52" t="s">
        <v>142</v>
      </c>
      <c r="CM28" s="52" t="s">
        <v>142</v>
      </c>
      <c r="CN28" s="52" t="s">
        <v>142</v>
      </c>
      <c r="CO28" s="52" t="s">
        <v>142</v>
      </c>
      <c r="CP28" s="52" t="s">
        <v>142</v>
      </c>
      <c r="CQ28" s="52" t="s">
        <v>146</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N28" s="790"/>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28</v>
      </c>
      <c r="B29" s="49">
        <v>202609</v>
      </c>
      <c r="C29" s="50" t="s">
        <v>620</v>
      </c>
      <c r="D29" s="50" t="s">
        <v>174</v>
      </c>
      <c r="E29" s="51">
        <v>5883</v>
      </c>
      <c r="F29" s="461" t="s">
        <v>134</v>
      </c>
      <c r="G29" s="462" t="s">
        <v>427</v>
      </c>
      <c r="H29" s="767" t="s">
        <v>428</v>
      </c>
      <c r="I29" s="635" t="s">
        <v>429</v>
      </c>
      <c r="J29" s="763" t="s">
        <v>621</v>
      </c>
      <c r="K29" s="643" t="s">
        <v>622</v>
      </c>
      <c r="L29" s="462"/>
      <c r="M29" s="652" t="s">
        <v>623</v>
      </c>
      <c r="N29" s="647" t="s">
        <v>624</v>
      </c>
      <c r="O29" s="192" t="s">
        <v>146</v>
      </c>
      <c r="P29" s="193" t="s">
        <v>146</v>
      </c>
      <c r="Q29" s="60" t="s">
        <v>434</v>
      </c>
      <c r="R29" s="194" t="str">
        <f>VLOOKUP(Sheet_1_Table_1_134[[#This Row],[Learning Domain]],[1]List!$A$7:$B$12,2,0)</f>
        <v>IED</v>
      </c>
      <c r="S29" s="461">
        <v>20</v>
      </c>
      <c r="T29" s="634">
        <v>0</v>
      </c>
      <c r="U29" s="634">
        <v>0</v>
      </c>
      <c r="V29" s="634">
        <v>0</v>
      </c>
      <c r="W29" s="634">
        <v>0</v>
      </c>
      <c r="X29" s="634">
        <v>0</v>
      </c>
      <c r="Y29" s="634">
        <v>0</v>
      </c>
      <c r="Z29" s="634">
        <v>0</v>
      </c>
      <c r="AA29" s="634">
        <v>80</v>
      </c>
      <c r="AB29" s="53">
        <f>SUM(Sheet_1_Table_1_134[[#This Row],[Leadership LS]:[Career Development  CR]])</f>
        <v>100</v>
      </c>
      <c r="AC29" s="97" t="s">
        <v>144</v>
      </c>
      <c r="AD29" s="55" t="s">
        <v>190</v>
      </c>
      <c r="AE29" s="55" t="s">
        <v>142</v>
      </c>
      <c r="AF29" s="55" t="s">
        <v>142</v>
      </c>
      <c r="AG29" s="55" t="s">
        <v>146</v>
      </c>
      <c r="AH29" s="55">
        <v>2</v>
      </c>
      <c r="AI29" s="55">
        <v>55</v>
      </c>
      <c r="AJ29" s="62">
        <f>Sheet_1_Table_1_134[[#This Row],[ILP Units Per Session]]*Sheet_1_Table_1_134[[#This Row],[Quota]]</f>
        <v>110</v>
      </c>
      <c r="AK29" s="63">
        <v>46317</v>
      </c>
      <c r="AL29" s="64">
        <f>WEEKDAY(Sheet_1_Table_1_134[[#This Row],[Lesson 1 
Date 
(DD-MMM-YYYY)]])</f>
        <v>5</v>
      </c>
      <c r="AM29" s="65">
        <v>0.6875</v>
      </c>
      <c r="AN29" s="66">
        <v>0.77083333333333337</v>
      </c>
      <c r="AO29" s="183" t="s">
        <v>485</v>
      </c>
      <c r="AP29" s="68"/>
      <c r="AQ29" s="64">
        <f>WEEKDAY(Sheet_1_Table_1_134[[#This Row],[Lesson 2
Date 
(DD-MMM-YYYY)]])</f>
        <v>7</v>
      </c>
      <c r="AR29" s="65"/>
      <c r="AS29" s="66"/>
      <c r="AT29" s="126"/>
      <c r="AU29" s="63"/>
      <c r="AV29" s="64">
        <f>WEEKDAY(Sheet_1_Table_1_134[[#This Row],[Lesson 3
Date 
(DD-MMM-YYYY)]])</f>
        <v>7</v>
      </c>
      <c r="AW29" s="65"/>
      <c r="AX29" s="66"/>
      <c r="AY29" s="126"/>
      <c r="AZ29" s="98"/>
      <c r="BA29" s="64">
        <f>WEEKDAY(Sheet_1_Table_1_134[[#This Row],[Lesson 4
Date 
(DD-MMM-YYYY)]])</f>
        <v>7</v>
      </c>
      <c r="BB29" s="65"/>
      <c r="BC29" s="66"/>
      <c r="BD29" s="126"/>
      <c r="BE29" s="63"/>
      <c r="BF29" s="64">
        <f>WEEKDAY(Sheet_1_Table_1_134[[#This Row],[Lesson 5
Date 
(DD-MMM-YYYY)]])</f>
        <v>7</v>
      </c>
      <c r="BG29" s="65"/>
      <c r="BH29" s="66"/>
      <c r="BI29" s="126"/>
      <c r="BJ29" s="98"/>
      <c r="BK29" s="64">
        <f>WEEKDAY(Sheet_1_Table_1_134[[#This Row],[Lesson 6
Date 
(DD-MMM-YYYY)]])</f>
        <v>7</v>
      </c>
      <c r="BL29" s="65"/>
      <c r="BM29" s="66"/>
      <c r="BN29" s="99"/>
      <c r="BO29" s="54" t="s">
        <v>293</v>
      </c>
      <c r="BP29" s="69" t="s">
        <v>585</v>
      </c>
      <c r="BQ29" s="56" t="s">
        <v>586</v>
      </c>
      <c r="BR29" s="57" t="s">
        <v>587</v>
      </c>
      <c r="BS29" s="54"/>
      <c r="BT29" s="56"/>
      <c r="BU29" s="56"/>
      <c r="BV29" s="57"/>
      <c r="BW29" s="60"/>
      <c r="BX29" s="187"/>
      <c r="BY29" s="56"/>
      <c r="BZ29" s="56"/>
      <c r="CA29" s="56"/>
      <c r="CB29" s="72"/>
      <c r="CC29" s="72"/>
      <c r="CD29" s="72"/>
      <c r="CE29" s="60" t="s">
        <v>440</v>
      </c>
      <c r="CF29" s="72" t="s">
        <v>441</v>
      </c>
      <c r="CG29" s="56" t="s">
        <v>442</v>
      </c>
      <c r="CH29" s="57" t="s">
        <v>443</v>
      </c>
      <c r="CI29" s="52" t="s">
        <v>146</v>
      </c>
      <c r="CJ29" s="52"/>
      <c r="CK29" s="52"/>
      <c r="CL29" s="52"/>
      <c r="CM29" s="52"/>
      <c r="CN29" s="52"/>
      <c r="CO29" s="52"/>
      <c r="CP29" s="52"/>
      <c r="CQ29" s="52"/>
      <c r="CR29" s="52"/>
      <c r="CS29" s="52"/>
      <c r="CT29" s="52"/>
      <c r="CU29" s="52"/>
      <c r="CV29" s="52"/>
      <c r="CW29" s="52"/>
      <c r="CX29" s="52"/>
      <c r="CY29" s="52"/>
      <c r="CZ29" s="59"/>
      <c r="DA29" s="54" t="s">
        <v>154</v>
      </c>
      <c r="DB29" s="50" t="s">
        <v>155</v>
      </c>
      <c r="DC29" s="50" t="s">
        <v>156</v>
      </c>
      <c r="DD29" s="50" t="s">
        <v>146</v>
      </c>
      <c r="DE29" s="50" t="s">
        <v>157</v>
      </c>
      <c r="DF29" s="50" t="s">
        <v>146</v>
      </c>
      <c r="DG29" s="73"/>
      <c r="DH29" s="73"/>
      <c r="DI29" s="74"/>
      <c r="DJ29" s="75"/>
      <c r="DK29" s="76" t="s">
        <v>146</v>
      </c>
      <c r="DL29" s="76" t="s">
        <v>146</v>
      </c>
      <c r="DM29" s="76" t="s">
        <v>146</v>
      </c>
      <c r="DN29" s="790"/>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29</v>
      </c>
      <c r="B30" s="49">
        <v>202609</v>
      </c>
      <c r="C30" s="50" t="s">
        <v>542</v>
      </c>
      <c r="D30" s="50" t="s">
        <v>174</v>
      </c>
      <c r="E30" s="51">
        <v>5899</v>
      </c>
      <c r="F30" s="461" t="s">
        <v>134</v>
      </c>
      <c r="G30" s="462" t="s">
        <v>427</v>
      </c>
      <c r="H30" s="768" t="s">
        <v>428</v>
      </c>
      <c r="I30" s="769" t="s">
        <v>429</v>
      </c>
      <c r="J30" s="763"/>
      <c r="K30" s="764" t="s">
        <v>543</v>
      </c>
      <c r="L30" s="462" t="s">
        <v>555</v>
      </c>
      <c r="M30" s="72" t="s">
        <v>625</v>
      </c>
      <c r="N30" s="70" t="s">
        <v>545</v>
      </c>
      <c r="O30" s="192" t="s">
        <v>146</v>
      </c>
      <c r="P30" s="193" t="s">
        <v>146</v>
      </c>
      <c r="Q30" s="60" t="s">
        <v>434</v>
      </c>
      <c r="R30" s="200" t="str">
        <f>VLOOKUP(Sheet_1_Table_1_134[[#This Row],[Learning Domain]],[1]List!$A$7:$B$12,2,0)</f>
        <v>IED</v>
      </c>
      <c r="S30" s="461">
        <v>0</v>
      </c>
      <c r="T30" s="634">
        <v>0</v>
      </c>
      <c r="U30" s="634">
        <v>0</v>
      </c>
      <c r="V30" s="634">
        <v>0</v>
      </c>
      <c r="W30" s="634">
        <v>0</v>
      </c>
      <c r="X30" s="634">
        <v>0</v>
      </c>
      <c r="Y30" s="634">
        <v>0</v>
      </c>
      <c r="Z30" s="634">
        <v>0</v>
      </c>
      <c r="AA30" s="634">
        <v>100</v>
      </c>
      <c r="AB30" s="53">
        <f>SUM(Sheet_1_Table_1_134[[#This Row],[Leadership LS]:[Career Development  CR]])</f>
        <v>100</v>
      </c>
      <c r="AC30" s="52" t="s">
        <v>199</v>
      </c>
      <c r="AD30" s="55" t="s">
        <v>190</v>
      </c>
      <c r="AE30" s="55" t="s">
        <v>146</v>
      </c>
      <c r="AF30" s="55" t="s">
        <v>142</v>
      </c>
      <c r="AG30" s="55" t="s">
        <v>142</v>
      </c>
      <c r="AH30" s="55">
        <v>1</v>
      </c>
      <c r="AI30" s="55">
        <v>60</v>
      </c>
      <c r="AJ30" s="62">
        <f>Sheet_1_Table_1_134[[#This Row],[ILP Units Per Session]]*Sheet_1_Table_1_134[[#This Row],[Quota]]</f>
        <v>60</v>
      </c>
      <c r="AK30" s="63">
        <v>46318</v>
      </c>
      <c r="AL30" s="64">
        <f>WEEKDAY(Sheet_1_Table_1_134[[#This Row],[Lesson 1 
Date 
(DD-MMM-YYYY)]])</f>
        <v>6</v>
      </c>
      <c r="AM30" s="65">
        <v>0.66666666666666663</v>
      </c>
      <c r="AN30" s="66">
        <v>0.70833333333333337</v>
      </c>
      <c r="AO30" s="183" t="s">
        <v>485</v>
      </c>
      <c r="AP30" s="68"/>
      <c r="AQ30" s="64">
        <f>WEEKDAY(Sheet_1_Table_1_134[[#This Row],[Lesson 2
Date 
(DD-MMM-YYYY)]])</f>
        <v>7</v>
      </c>
      <c r="AR30" s="65"/>
      <c r="AS30" s="66"/>
      <c r="AT30" s="66"/>
      <c r="AU30" s="63"/>
      <c r="AV30" s="64">
        <f>WEEKDAY(Sheet_1_Table_1_134[[#This Row],[Lesson 3
Date 
(DD-MMM-YYYY)]])</f>
        <v>7</v>
      </c>
      <c r="AW30" s="65"/>
      <c r="AX30" s="66"/>
      <c r="AY30" s="67"/>
      <c r="AZ30" s="68"/>
      <c r="BA30" s="64">
        <f>WEEKDAY(Sheet_1_Table_1_134[[#This Row],[Lesson 4
Date 
(DD-MMM-YYYY)]])</f>
        <v>7</v>
      </c>
      <c r="BB30" s="65"/>
      <c r="BC30" s="66"/>
      <c r="BD30" s="66"/>
      <c r="BE30" s="63"/>
      <c r="BF30" s="64">
        <f>WEEKDAY(Sheet_1_Table_1_134[[#This Row],[Lesson 5
Date 
(DD-MMM-YYYY)]])</f>
        <v>7</v>
      </c>
      <c r="BG30" s="65"/>
      <c r="BH30" s="66"/>
      <c r="BI30" s="67"/>
      <c r="BJ30" s="68"/>
      <c r="BK30" s="64">
        <f>WEEKDAY(Sheet_1_Table_1_134[[#This Row],[Lesson 6
Date 
(DD-MMM-YYYY)]])</f>
        <v>7</v>
      </c>
      <c r="BL30" s="65"/>
      <c r="BM30" s="66"/>
      <c r="BN30" s="66"/>
      <c r="BO30" s="54" t="s">
        <v>293</v>
      </c>
      <c r="BP30" s="69" t="s">
        <v>547</v>
      </c>
      <c r="BQ30" s="56" t="s">
        <v>548</v>
      </c>
      <c r="BR30" s="57" t="s">
        <v>549</v>
      </c>
      <c r="BS30" s="52"/>
      <c r="BT30" s="56"/>
      <c r="BU30" s="56"/>
      <c r="BV30" s="70"/>
      <c r="BW30" s="60"/>
      <c r="BX30" s="71"/>
      <c r="BY30" s="56"/>
      <c r="BZ30" s="56"/>
      <c r="CA30" s="56"/>
      <c r="CB30" s="72"/>
      <c r="CC30" s="72"/>
      <c r="CD30" s="71"/>
      <c r="CE30" s="60" t="s">
        <v>440</v>
      </c>
      <c r="CF30" s="71" t="s">
        <v>441</v>
      </c>
      <c r="CG30" s="56" t="s">
        <v>271</v>
      </c>
      <c r="CH30" s="57" t="s">
        <v>272</v>
      </c>
      <c r="CI30" s="52" t="s">
        <v>146</v>
      </c>
      <c r="CJ30" s="52" t="s">
        <v>142</v>
      </c>
      <c r="CK30" s="52" t="s">
        <v>142</v>
      </c>
      <c r="CL30" s="52" t="s">
        <v>142</v>
      </c>
      <c r="CM30" s="52" t="s">
        <v>142</v>
      </c>
      <c r="CN30" s="52" t="s">
        <v>142</v>
      </c>
      <c r="CO30" s="52" t="s">
        <v>142</v>
      </c>
      <c r="CP30" s="52" t="s">
        <v>142</v>
      </c>
      <c r="CQ30" s="52" t="s">
        <v>146</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N30" s="790"/>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30</v>
      </c>
      <c r="B31" s="49">
        <v>202609</v>
      </c>
      <c r="C31" s="50" t="s">
        <v>550</v>
      </c>
      <c r="D31" s="50" t="s">
        <v>174</v>
      </c>
      <c r="E31" s="51">
        <v>5901</v>
      </c>
      <c r="F31" s="461" t="s">
        <v>134</v>
      </c>
      <c r="G31" s="462" t="s">
        <v>427</v>
      </c>
      <c r="H31" s="768" t="s">
        <v>428</v>
      </c>
      <c r="I31" s="769" t="s">
        <v>429</v>
      </c>
      <c r="J31" s="763"/>
      <c r="K31" s="764" t="s">
        <v>551</v>
      </c>
      <c r="L31" s="462" t="s">
        <v>555</v>
      </c>
      <c r="M31" s="72" t="s">
        <v>552</v>
      </c>
      <c r="N31" s="70" t="s">
        <v>553</v>
      </c>
      <c r="O31" s="192" t="s">
        <v>146</v>
      </c>
      <c r="P31" s="193" t="s">
        <v>146</v>
      </c>
      <c r="Q31" s="60" t="s">
        <v>434</v>
      </c>
      <c r="R31" s="194" t="str">
        <f>VLOOKUP(Sheet_1_Table_1_134[[#This Row],[Learning Domain]],[1]List!$A$7:$B$12,2,0)</f>
        <v>IED</v>
      </c>
      <c r="S31" s="461">
        <v>0</v>
      </c>
      <c r="T31" s="634">
        <v>0</v>
      </c>
      <c r="U31" s="634">
        <v>0</v>
      </c>
      <c r="V31" s="634">
        <v>0</v>
      </c>
      <c r="W31" s="634">
        <v>0</v>
      </c>
      <c r="X31" s="634">
        <v>0</v>
      </c>
      <c r="Y31" s="634">
        <v>0</v>
      </c>
      <c r="Z31" s="634">
        <v>0</v>
      </c>
      <c r="AA31" s="634">
        <v>100</v>
      </c>
      <c r="AB31" s="53">
        <f>SUM(Sheet_1_Table_1_134[[#This Row],[Leadership LS]:[Career Development  CR]])</f>
        <v>100</v>
      </c>
      <c r="AC31" s="52" t="s">
        <v>199</v>
      </c>
      <c r="AD31" s="55" t="s">
        <v>190</v>
      </c>
      <c r="AE31" s="55" t="s">
        <v>146</v>
      </c>
      <c r="AF31" s="55" t="s">
        <v>142</v>
      </c>
      <c r="AG31" s="55" t="s">
        <v>142</v>
      </c>
      <c r="AH31" s="55">
        <v>1</v>
      </c>
      <c r="AI31" s="55">
        <v>60</v>
      </c>
      <c r="AJ31" s="62">
        <f>Sheet_1_Table_1_134[[#This Row],[ILP Units Per Session]]*Sheet_1_Table_1_134[[#This Row],[Quota]]</f>
        <v>60</v>
      </c>
      <c r="AK31" s="63">
        <v>46318</v>
      </c>
      <c r="AL31" s="64">
        <f>WEEKDAY(Sheet_1_Table_1_134[[#This Row],[Lesson 1 
Date 
(DD-MMM-YYYY)]])</f>
        <v>6</v>
      </c>
      <c r="AM31" s="65">
        <v>0.72916666666666663</v>
      </c>
      <c r="AN31" s="66">
        <v>0.77083333333333337</v>
      </c>
      <c r="AO31" s="183" t="s">
        <v>485</v>
      </c>
      <c r="AP31" s="68"/>
      <c r="AQ31" s="64">
        <f>WEEKDAY(Sheet_1_Table_1_134[[#This Row],[Lesson 2
Date 
(DD-MMM-YYYY)]])</f>
        <v>7</v>
      </c>
      <c r="AR31" s="65"/>
      <c r="AS31" s="66"/>
      <c r="AT31" s="66"/>
      <c r="AU31" s="63"/>
      <c r="AV31" s="64">
        <f>WEEKDAY(Sheet_1_Table_1_134[[#This Row],[Lesson 3
Date 
(DD-MMM-YYYY)]])</f>
        <v>7</v>
      </c>
      <c r="AW31" s="65"/>
      <c r="AX31" s="66"/>
      <c r="AY31" s="67"/>
      <c r="AZ31" s="68"/>
      <c r="BA31" s="64">
        <f>WEEKDAY(Sheet_1_Table_1_134[[#This Row],[Lesson 4
Date 
(DD-MMM-YYYY)]])</f>
        <v>7</v>
      </c>
      <c r="BB31" s="65"/>
      <c r="BC31" s="66"/>
      <c r="BD31" s="66"/>
      <c r="BE31" s="63"/>
      <c r="BF31" s="64">
        <f>WEEKDAY(Sheet_1_Table_1_134[[#This Row],[Lesson 5
Date 
(DD-MMM-YYYY)]])</f>
        <v>7</v>
      </c>
      <c r="BG31" s="65"/>
      <c r="BH31" s="66"/>
      <c r="BI31" s="67"/>
      <c r="BJ31" s="68"/>
      <c r="BK31" s="64">
        <f>WEEKDAY(Sheet_1_Table_1_134[[#This Row],[Lesson 6
Date 
(DD-MMM-YYYY)]])</f>
        <v>7</v>
      </c>
      <c r="BL31" s="65"/>
      <c r="BM31" s="66"/>
      <c r="BN31" s="66"/>
      <c r="BO31" s="54" t="s">
        <v>293</v>
      </c>
      <c r="BP31" s="69" t="s">
        <v>547</v>
      </c>
      <c r="BQ31" s="56" t="s">
        <v>548</v>
      </c>
      <c r="BR31" s="57" t="s">
        <v>549</v>
      </c>
      <c r="BS31" s="52"/>
      <c r="BT31" s="56"/>
      <c r="BU31" s="56"/>
      <c r="BV31" s="70"/>
      <c r="BW31" s="60"/>
      <c r="BX31" s="71"/>
      <c r="BY31" s="56"/>
      <c r="BZ31" s="56"/>
      <c r="CA31" s="56"/>
      <c r="CB31" s="72"/>
      <c r="CC31" s="72"/>
      <c r="CD31" s="71"/>
      <c r="CE31" s="60" t="s">
        <v>440</v>
      </c>
      <c r="CF31" s="71" t="s">
        <v>441</v>
      </c>
      <c r="CG31" s="56" t="s">
        <v>271</v>
      </c>
      <c r="CH31" s="57" t="s">
        <v>272</v>
      </c>
      <c r="CI31" s="52" t="s">
        <v>146</v>
      </c>
      <c r="CJ31" s="52" t="s">
        <v>142</v>
      </c>
      <c r="CK31" s="52" t="s">
        <v>142</v>
      </c>
      <c r="CL31" s="52" t="s">
        <v>142</v>
      </c>
      <c r="CM31" s="52" t="s">
        <v>142</v>
      </c>
      <c r="CN31" s="52" t="s">
        <v>142</v>
      </c>
      <c r="CO31" s="52" t="s">
        <v>142</v>
      </c>
      <c r="CP31" s="52" t="s">
        <v>142</v>
      </c>
      <c r="CQ31" s="52" t="s">
        <v>146</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N31" s="790"/>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31</v>
      </c>
      <c r="B32" s="49">
        <v>202609</v>
      </c>
      <c r="C32" s="50" t="s">
        <v>626</v>
      </c>
      <c r="D32" s="50" t="s">
        <v>174</v>
      </c>
      <c r="E32" s="51">
        <v>5873</v>
      </c>
      <c r="F32" s="461" t="s">
        <v>134</v>
      </c>
      <c r="G32" s="462" t="s">
        <v>427</v>
      </c>
      <c r="H32" s="294" t="s">
        <v>428</v>
      </c>
      <c r="I32" s="769" t="s">
        <v>429</v>
      </c>
      <c r="J32" s="763" t="s">
        <v>627</v>
      </c>
      <c r="K32" s="764" t="s">
        <v>628</v>
      </c>
      <c r="L32" s="462"/>
      <c r="M32" s="652" t="s">
        <v>629</v>
      </c>
      <c r="N32" s="647" t="s">
        <v>630</v>
      </c>
      <c r="O32" s="192" t="s">
        <v>146</v>
      </c>
      <c r="P32" s="193" t="s">
        <v>146</v>
      </c>
      <c r="Q32" s="60" t="s">
        <v>434</v>
      </c>
      <c r="R32" s="200" t="str">
        <f>VLOOKUP(Sheet_1_Table_1_134[[#This Row],[Learning Domain]],[1]List!$A$7:$B$12,2,0)</f>
        <v>IED</v>
      </c>
      <c r="S32" s="461">
        <v>20</v>
      </c>
      <c r="T32" s="634">
        <v>0</v>
      </c>
      <c r="U32" s="634">
        <v>0</v>
      </c>
      <c r="V32" s="634">
        <v>0</v>
      </c>
      <c r="W32" s="634">
        <v>0</v>
      </c>
      <c r="X32" s="634">
        <v>0</v>
      </c>
      <c r="Y32" s="634">
        <v>0</v>
      </c>
      <c r="Z32" s="634">
        <v>0</v>
      </c>
      <c r="AA32" s="634">
        <v>80</v>
      </c>
      <c r="AB32" s="53">
        <f>SUM(Sheet_1_Table_1_134[[#This Row],[Leadership LS]:[Career Development  CR]])</f>
        <v>100</v>
      </c>
      <c r="AC32" s="97" t="s">
        <v>199</v>
      </c>
      <c r="AD32" s="55" t="s">
        <v>386</v>
      </c>
      <c r="AE32" s="55" t="s">
        <v>142</v>
      </c>
      <c r="AF32" s="55" t="s">
        <v>146</v>
      </c>
      <c r="AG32" s="55" t="s">
        <v>142</v>
      </c>
      <c r="AH32" s="55">
        <v>2</v>
      </c>
      <c r="AI32" s="55">
        <v>100</v>
      </c>
      <c r="AJ32" s="62">
        <f>Sheet_1_Table_1_134[[#This Row],[ILP Units Per Session]]*Sheet_1_Table_1_134[[#This Row],[Quota]]</f>
        <v>200</v>
      </c>
      <c r="AK32" s="179">
        <v>46321</v>
      </c>
      <c r="AL32" s="64">
        <f>WEEKDAY(Sheet_1_Table_1_134[[#This Row],[Lesson 1 
Date 
(DD-MMM-YYYY)]])</f>
        <v>2</v>
      </c>
      <c r="AM32" s="65">
        <v>0.6875</v>
      </c>
      <c r="AN32" s="66">
        <v>0.77083333333333337</v>
      </c>
      <c r="AO32" s="67" t="s">
        <v>182</v>
      </c>
      <c r="AP32" s="68"/>
      <c r="AQ32" s="64">
        <f>WEEKDAY(Sheet_1_Table_1_134[[#This Row],[Lesson 2
Date 
(DD-MMM-YYYY)]])</f>
        <v>7</v>
      </c>
      <c r="AR32" s="65"/>
      <c r="AS32" s="66"/>
      <c r="AT32" s="126"/>
      <c r="AU32" s="63"/>
      <c r="AV32" s="64">
        <f>WEEKDAY(Sheet_1_Table_1_134[[#This Row],[Lesson 3
Date 
(DD-MMM-YYYY)]])</f>
        <v>7</v>
      </c>
      <c r="AW32" s="65"/>
      <c r="AX32" s="66"/>
      <c r="AY32" s="126"/>
      <c r="AZ32" s="98"/>
      <c r="BA32" s="64">
        <f>WEEKDAY(Sheet_1_Table_1_134[[#This Row],[Lesson 4
Date 
(DD-MMM-YYYY)]])</f>
        <v>7</v>
      </c>
      <c r="BB32" s="65"/>
      <c r="BC32" s="66"/>
      <c r="BD32" s="126"/>
      <c r="BE32" s="63"/>
      <c r="BF32" s="64">
        <f>WEEKDAY(Sheet_1_Table_1_134[[#This Row],[Lesson 5
Date 
(DD-MMM-YYYY)]])</f>
        <v>7</v>
      </c>
      <c r="BG32" s="65"/>
      <c r="BH32" s="66"/>
      <c r="BI32" s="126"/>
      <c r="BJ32" s="98"/>
      <c r="BK32" s="64">
        <f>WEEKDAY(Sheet_1_Table_1_134[[#This Row],[Lesson 6
Date 
(DD-MMM-YYYY)]])</f>
        <v>7</v>
      </c>
      <c r="BL32" s="65"/>
      <c r="BM32" s="66"/>
      <c r="BN32" s="99"/>
      <c r="BO32" s="54" t="s">
        <v>293</v>
      </c>
      <c r="BP32" s="69" t="s">
        <v>435</v>
      </c>
      <c r="BQ32" s="56" t="s">
        <v>436</v>
      </c>
      <c r="BR32" s="57" t="s">
        <v>437</v>
      </c>
      <c r="BS32" s="54"/>
      <c r="BT32" s="56"/>
      <c r="BU32" s="56"/>
      <c r="BV32" s="57"/>
      <c r="BW32" s="60"/>
      <c r="BX32" s="187"/>
      <c r="BY32" s="56" t="s">
        <v>184</v>
      </c>
      <c r="BZ32" s="56"/>
      <c r="CA32" s="56" t="s">
        <v>184</v>
      </c>
      <c r="CB32" s="195" t="s">
        <v>631</v>
      </c>
      <c r="CC32" s="195" t="s">
        <v>632</v>
      </c>
      <c r="CD32" s="195">
        <v>50656258</v>
      </c>
      <c r="CE32" s="60" t="s">
        <v>440</v>
      </c>
      <c r="CF32" s="72" t="s">
        <v>441</v>
      </c>
      <c r="CG32" s="56" t="s">
        <v>442</v>
      </c>
      <c r="CH32" s="57" t="s">
        <v>443</v>
      </c>
      <c r="CI32" s="52" t="s">
        <v>146</v>
      </c>
      <c r="CJ32" s="52" t="s">
        <v>142</v>
      </c>
      <c r="CK32" s="52" t="s">
        <v>142</v>
      </c>
      <c r="CL32" s="52" t="s">
        <v>142</v>
      </c>
      <c r="CM32" s="52" t="s">
        <v>142</v>
      </c>
      <c r="CN32" s="52" t="s">
        <v>142</v>
      </c>
      <c r="CO32" s="52" t="s">
        <v>142</v>
      </c>
      <c r="CP32" s="52" t="s">
        <v>142</v>
      </c>
      <c r="CQ32" s="52" t="s">
        <v>146</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N32" s="790"/>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32</v>
      </c>
      <c r="B33" s="49">
        <v>202609</v>
      </c>
      <c r="C33" s="50" t="s">
        <v>633</v>
      </c>
      <c r="D33" s="50" t="s">
        <v>174</v>
      </c>
      <c r="E33" s="51">
        <v>5894</v>
      </c>
      <c r="F33" s="461" t="s">
        <v>134</v>
      </c>
      <c r="G33" s="462" t="s">
        <v>427</v>
      </c>
      <c r="H33" s="295"/>
      <c r="I33" s="298"/>
      <c r="J33" s="280" t="s">
        <v>634</v>
      </c>
      <c r="K33" s="60" t="s">
        <v>635</v>
      </c>
      <c r="L33" s="53"/>
      <c r="M33" s="72" t="s">
        <v>636</v>
      </c>
      <c r="N33" s="70" t="s">
        <v>637</v>
      </c>
      <c r="O33" s="192" t="s">
        <v>146</v>
      </c>
      <c r="P33" s="193" t="s">
        <v>146</v>
      </c>
      <c r="Q33" s="60" t="s">
        <v>434</v>
      </c>
      <c r="R33" s="194" t="str">
        <f>VLOOKUP(Sheet_1_Table_1_134[[#This Row],[Learning Domain]],[1]List!$A$7:$B$12,2,0)</f>
        <v>IED</v>
      </c>
      <c r="S33" s="52">
        <v>20</v>
      </c>
      <c r="T33" s="55">
        <v>30</v>
      </c>
      <c r="U33" s="55">
        <v>0</v>
      </c>
      <c r="V33" s="55">
        <v>0</v>
      </c>
      <c r="W33" s="55">
        <v>0</v>
      </c>
      <c r="X33" s="55">
        <v>0</v>
      </c>
      <c r="Y33" s="55">
        <v>0</v>
      </c>
      <c r="Z33" s="55">
        <v>0</v>
      </c>
      <c r="AA33" s="55">
        <v>50</v>
      </c>
      <c r="AB33" s="53">
        <f>SUM(Sheet_1_Table_1_134[[#This Row],[Leadership LS]:[Career Development  CR]])</f>
        <v>100</v>
      </c>
      <c r="AC33" s="97" t="s">
        <v>144</v>
      </c>
      <c r="AD33" s="55" t="s">
        <v>190</v>
      </c>
      <c r="AE33" s="55" t="s">
        <v>142</v>
      </c>
      <c r="AF33" s="55" t="s">
        <v>146</v>
      </c>
      <c r="AG33" s="55" t="s">
        <v>142</v>
      </c>
      <c r="AH33" s="55">
        <v>1</v>
      </c>
      <c r="AI33" s="174">
        <v>40</v>
      </c>
      <c r="AJ33" s="62">
        <f>Sheet_1_Table_1_134[[#This Row],[ILP Units Per Session]]*Sheet_1_Table_1_134[[#This Row],[Quota]]</f>
        <v>40</v>
      </c>
      <c r="AK33" s="179">
        <v>46321</v>
      </c>
      <c r="AL33" s="165">
        <f>WEEKDAY(Sheet_1_Table_1_134[[#This Row],[Lesson 1 
Date 
(DD-MMM-YYYY)]])</f>
        <v>2</v>
      </c>
      <c r="AM33" s="65">
        <v>0.66666666666666663</v>
      </c>
      <c r="AN33" s="66">
        <v>0.70833333333333337</v>
      </c>
      <c r="AO33" s="183" t="s">
        <v>191</v>
      </c>
      <c r="AP33" s="68"/>
      <c r="AQ33" s="64">
        <f>WEEKDAY(Sheet_1_Table_1_134[[#This Row],[Lesson 2
Date 
(DD-MMM-YYYY)]])</f>
        <v>7</v>
      </c>
      <c r="AR33" s="65"/>
      <c r="AS33" s="66"/>
      <c r="AT33" s="126"/>
      <c r="AU33" s="63"/>
      <c r="AV33" s="64">
        <f>WEEKDAY(Sheet_1_Table_1_134[[#This Row],[Lesson 3
Date 
(DD-MMM-YYYY)]])</f>
        <v>7</v>
      </c>
      <c r="AW33" s="65"/>
      <c r="AX33" s="66"/>
      <c r="AY33" s="126"/>
      <c r="AZ33" s="98"/>
      <c r="BA33" s="64">
        <f>WEEKDAY(Sheet_1_Table_1_134[[#This Row],[Lesson 4
Date 
(DD-MMM-YYYY)]])</f>
        <v>7</v>
      </c>
      <c r="BB33" s="65"/>
      <c r="BC33" s="66"/>
      <c r="BD33" s="126"/>
      <c r="BE33" s="63"/>
      <c r="BF33" s="64">
        <f>WEEKDAY(Sheet_1_Table_1_134[[#This Row],[Lesson 5
Date 
(DD-MMM-YYYY)]])</f>
        <v>7</v>
      </c>
      <c r="BG33" s="65"/>
      <c r="BH33" s="66"/>
      <c r="BI33" s="126"/>
      <c r="BJ33" s="98"/>
      <c r="BK33" s="64">
        <f>WEEKDAY(Sheet_1_Table_1_134[[#This Row],[Lesson 6
Date 
(DD-MMM-YYYY)]])</f>
        <v>7</v>
      </c>
      <c r="BL33" s="65"/>
      <c r="BM33" s="66"/>
      <c r="BN33" s="99"/>
      <c r="BO33" s="772" t="s">
        <v>449</v>
      </c>
      <c r="BP33" s="69"/>
      <c r="BQ33" s="56"/>
      <c r="BR33" s="57"/>
      <c r="BS33" s="54"/>
      <c r="BT33" s="56"/>
      <c r="BU33" s="56"/>
      <c r="BV33" s="57"/>
      <c r="BW33" s="60"/>
      <c r="BX33" s="187"/>
      <c r="BY33" s="56"/>
      <c r="BZ33" s="56"/>
      <c r="CA33" s="56"/>
      <c r="CB33" s="72"/>
      <c r="CC33" s="72"/>
      <c r="CD33" s="72"/>
      <c r="CE33" s="60" t="s">
        <v>440</v>
      </c>
      <c r="CF33" s="72" t="s">
        <v>441</v>
      </c>
      <c r="CG33" s="56" t="s">
        <v>450</v>
      </c>
      <c r="CH33" s="57" t="s">
        <v>451</v>
      </c>
      <c r="CI33" s="52" t="s">
        <v>142</v>
      </c>
      <c r="CJ33" s="52" t="s">
        <v>142</v>
      </c>
      <c r="CK33" s="52" t="s">
        <v>142</v>
      </c>
      <c r="CL33" s="52" t="s">
        <v>142</v>
      </c>
      <c r="CM33" s="52" t="s">
        <v>142</v>
      </c>
      <c r="CN33" s="52" t="s">
        <v>142</v>
      </c>
      <c r="CO33" s="52" t="s">
        <v>142</v>
      </c>
      <c r="CP33" s="52" t="s">
        <v>142</v>
      </c>
      <c r="CQ33" s="52" t="s">
        <v>146</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N33" s="790"/>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33</v>
      </c>
      <c r="B34" s="49">
        <v>202609</v>
      </c>
      <c r="C34" s="50" t="s">
        <v>638</v>
      </c>
      <c r="D34" s="50" t="s">
        <v>174</v>
      </c>
      <c r="E34" s="51">
        <v>5874</v>
      </c>
      <c r="F34" s="461" t="s">
        <v>134</v>
      </c>
      <c r="G34" s="462" t="s">
        <v>427</v>
      </c>
      <c r="H34" s="461" t="s">
        <v>428</v>
      </c>
      <c r="I34" s="647" t="s">
        <v>429</v>
      </c>
      <c r="J34" s="763" t="s">
        <v>639</v>
      </c>
      <c r="K34" s="764" t="s">
        <v>640</v>
      </c>
      <c r="L34" s="462"/>
      <c r="M34" s="652" t="s">
        <v>641</v>
      </c>
      <c r="N34" s="647" t="s">
        <v>642</v>
      </c>
      <c r="O34" s="192" t="s">
        <v>146</v>
      </c>
      <c r="P34" s="193" t="s">
        <v>146</v>
      </c>
      <c r="Q34" s="60" t="s">
        <v>434</v>
      </c>
      <c r="R34" s="200" t="str">
        <f>VLOOKUP(Sheet_1_Table_1_134[[#This Row],[Learning Domain]],[1]List!$A$7:$B$12,2,0)</f>
        <v>IED</v>
      </c>
      <c r="S34" s="461">
        <v>30</v>
      </c>
      <c r="T34" s="634">
        <v>0</v>
      </c>
      <c r="U34" s="634">
        <v>0</v>
      </c>
      <c r="V34" s="634">
        <v>0</v>
      </c>
      <c r="W34" s="634">
        <v>0</v>
      </c>
      <c r="X34" s="634">
        <v>0</v>
      </c>
      <c r="Y34" s="634">
        <v>0</v>
      </c>
      <c r="Z34" s="634">
        <v>0</v>
      </c>
      <c r="AA34" s="634">
        <v>70</v>
      </c>
      <c r="AB34" s="53">
        <f>SUM(Sheet_1_Table_1_134[[#This Row],[Leadership LS]:[Career Development  CR]])</f>
        <v>100</v>
      </c>
      <c r="AC34" s="52" t="s">
        <v>199</v>
      </c>
      <c r="AD34" s="55" t="s">
        <v>386</v>
      </c>
      <c r="AE34" s="55" t="s">
        <v>142</v>
      </c>
      <c r="AF34" s="55" t="s">
        <v>146</v>
      </c>
      <c r="AG34" s="55" t="s">
        <v>142</v>
      </c>
      <c r="AH34" s="55">
        <v>2</v>
      </c>
      <c r="AI34" s="55">
        <v>100</v>
      </c>
      <c r="AJ34" s="62">
        <f>Sheet_1_Table_1_134[[#This Row],[ILP Units Per Session]]*Sheet_1_Table_1_134[[#This Row],[Quota]]</f>
        <v>200</v>
      </c>
      <c r="AK34" s="179">
        <v>46324</v>
      </c>
      <c r="AL34" s="64">
        <f>WEEKDAY(Sheet_1_Table_1_134[[#This Row],[Lesson 1 
Date 
(DD-MMM-YYYY)]])</f>
        <v>5</v>
      </c>
      <c r="AM34" s="65">
        <v>0.6875</v>
      </c>
      <c r="AN34" s="66">
        <v>0.77083333333333337</v>
      </c>
      <c r="AO34" s="67" t="s">
        <v>182</v>
      </c>
      <c r="AP34" s="68"/>
      <c r="AQ34" s="64">
        <f>WEEKDAY(Sheet_1_Table_1_134[[#This Row],[Lesson 2
Date 
(DD-MMM-YYYY)]])</f>
        <v>7</v>
      </c>
      <c r="AR34" s="65"/>
      <c r="AS34" s="66"/>
      <c r="AT34" s="66"/>
      <c r="AU34" s="63"/>
      <c r="AV34" s="64">
        <f>WEEKDAY(Sheet_1_Table_1_134[[#This Row],[Lesson 3
Date 
(DD-MMM-YYYY)]])</f>
        <v>7</v>
      </c>
      <c r="AW34" s="65"/>
      <c r="AX34" s="66"/>
      <c r="AY34" s="67"/>
      <c r="AZ34" s="68"/>
      <c r="BA34" s="64">
        <f>WEEKDAY(Sheet_1_Table_1_134[[#This Row],[Lesson 4
Date 
(DD-MMM-YYYY)]])</f>
        <v>7</v>
      </c>
      <c r="BB34" s="65"/>
      <c r="BC34" s="66"/>
      <c r="BD34" s="66"/>
      <c r="BE34" s="63"/>
      <c r="BF34" s="64">
        <f>WEEKDAY(Sheet_1_Table_1_134[[#This Row],[Lesson 5
Date 
(DD-MMM-YYYY)]])</f>
        <v>7</v>
      </c>
      <c r="BG34" s="65"/>
      <c r="BH34" s="66"/>
      <c r="BI34" s="67"/>
      <c r="BJ34" s="68"/>
      <c r="BK34" s="64">
        <f>WEEKDAY(Sheet_1_Table_1_134[[#This Row],[Lesson 6
Date 
(DD-MMM-YYYY)]])</f>
        <v>7</v>
      </c>
      <c r="BL34" s="65"/>
      <c r="BM34" s="66"/>
      <c r="BN34" s="66"/>
      <c r="BO34" s="54" t="s">
        <v>293</v>
      </c>
      <c r="BP34" s="69" t="s">
        <v>435</v>
      </c>
      <c r="BQ34" s="56" t="s">
        <v>436</v>
      </c>
      <c r="BR34" s="57" t="s">
        <v>437</v>
      </c>
      <c r="BS34" s="52"/>
      <c r="BT34" s="56"/>
      <c r="BU34" s="56"/>
      <c r="BV34" s="70"/>
      <c r="BW34" s="60"/>
      <c r="BX34" s="71"/>
      <c r="BY34" s="56" t="s">
        <v>184</v>
      </c>
      <c r="BZ34" s="56"/>
      <c r="CA34" s="56" t="s">
        <v>184</v>
      </c>
      <c r="CB34" s="195" t="s">
        <v>643</v>
      </c>
      <c r="CC34" s="195" t="s">
        <v>644</v>
      </c>
      <c r="CD34" s="196">
        <v>53628769</v>
      </c>
      <c r="CE34" s="60" t="s">
        <v>440</v>
      </c>
      <c r="CF34" s="71" t="s">
        <v>441</v>
      </c>
      <c r="CG34" s="56" t="s">
        <v>442</v>
      </c>
      <c r="CH34" s="57" t="s">
        <v>443</v>
      </c>
      <c r="CI34" s="52" t="s">
        <v>146</v>
      </c>
      <c r="CJ34" s="52" t="s">
        <v>142</v>
      </c>
      <c r="CK34" s="52" t="s">
        <v>142</v>
      </c>
      <c r="CL34" s="52" t="s">
        <v>142</v>
      </c>
      <c r="CM34" s="52" t="s">
        <v>142</v>
      </c>
      <c r="CN34" s="52" t="s">
        <v>142</v>
      </c>
      <c r="CO34" s="52" t="s">
        <v>142</v>
      </c>
      <c r="CP34" s="52" t="s">
        <v>142</v>
      </c>
      <c r="CQ34" s="52" t="s">
        <v>146</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N34" s="790"/>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34</v>
      </c>
      <c r="B35" s="49">
        <v>202609</v>
      </c>
      <c r="C35" s="50" t="s">
        <v>645</v>
      </c>
      <c r="D35" s="50" t="s">
        <v>174</v>
      </c>
      <c r="E35" s="51">
        <v>5876</v>
      </c>
      <c r="F35" s="461" t="s">
        <v>134</v>
      </c>
      <c r="G35" s="462" t="s">
        <v>427</v>
      </c>
      <c r="H35" s="294" t="s">
        <v>428</v>
      </c>
      <c r="I35" s="300" t="s">
        <v>429</v>
      </c>
      <c r="J35" s="763" t="s">
        <v>646</v>
      </c>
      <c r="K35" s="764" t="s">
        <v>647</v>
      </c>
      <c r="L35" s="462"/>
      <c r="M35" s="652" t="s">
        <v>648</v>
      </c>
      <c r="N35" s="647" t="s">
        <v>649</v>
      </c>
      <c r="O35" s="192" t="s">
        <v>146</v>
      </c>
      <c r="P35" s="193" t="s">
        <v>146</v>
      </c>
      <c r="Q35" s="60" t="s">
        <v>434</v>
      </c>
      <c r="R35" s="194" t="str">
        <f>VLOOKUP(Sheet_1_Table_1_134[[#This Row],[Learning Domain]],[1]List!$A$7:$B$12,2,0)</f>
        <v>IED</v>
      </c>
      <c r="S35" s="461">
        <v>0</v>
      </c>
      <c r="T35" s="634">
        <v>0</v>
      </c>
      <c r="U35" s="634">
        <v>0</v>
      </c>
      <c r="V35" s="634">
        <v>0</v>
      </c>
      <c r="W35" s="634">
        <v>0</v>
      </c>
      <c r="X35" s="634">
        <v>0</v>
      </c>
      <c r="Y35" s="634">
        <v>0</v>
      </c>
      <c r="Z35" s="634">
        <v>0</v>
      </c>
      <c r="AA35" s="634">
        <v>100</v>
      </c>
      <c r="AB35" s="53">
        <f>SUM(Sheet_1_Table_1_134[[#This Row],[Leadership LS]:[Career Development  CR]])</f>
        <v>100</v>
      </c>
      <c r="AC35" s="52" t="s">
        <v>144</v>
      </c>
      <c r="AD35" s="55" t="s">
        <v>190</v>
      </c>
      <c r="AE35" s="55" t="s">
        <v>142</v>
      </c>
      <c r="AF35" s="55" t="s">
        <v>146</v>
      </c>
      <c r="AG35" s="55" t="s">
        <v>142</v>
      </c>
      <c r="AH35" s="55">
        <v>2</v>
      </c>
      <c r="AI35" s="55">
        <v>60</v>
      </c>
      <c r="AJ35" s="62">
        <f>Sheet_1_Table_1_134[[#This Row],[ILP Units Per Session]]*Sheet_1_Table_1_134[[#This Row],[Quota]]</f>
        <v>120</v>
      </c>
      <c r="AK35" s="63">
        <v>46325</v>
      </c>
      <c r="AL35" s="64">
        <f>WEEKDAY(Sheet_1_Table_1_134[[#This Row],[Lesson 1 
Date 
(DD-MMM-YYYY)]])</f>
        <v>6</v>
      </c>
      <c r="AM35" s="65">
        <v>0.6875</v>
      </c>
      <c r="AN35" s="66">
        <v>0.77083333333333337</v>
      </c>
      <c r="AO35" s="183" t="s">
        <v>264</v>
      </c>
      <c r="AP35" s="68"/>
      <c r="AQ35" s="64">
        <f>WEEKDAY(Sheet_1_Table_1_134[[#This Row],[Lesson 2
Date 
(DD-MMM-YYYY)]])</f>
        <v>7</v>
      </c>
      <c r="AR35" s="65"/>
      <c r="AS35" s="66"/>
      <c r="AT35" s="66"/>
      <c r="AU35" s="63"/>
      <c r="AV35" s="64">
        <f>WEEKDAY(Sheet_1_Table_1_134[[#This Row],[Lesson 3
Date 
(DD-MMM-YYYY)]])</f>
        <v>7</v>
      </c>
      <c r="AW35" s="65"/>
      <c r="AX35" s="66"/>
      <c r="AY35" s="67"/>
      <c r="AZ35" s="68"/>
      <c r="BA35" s="64">
        <f>WEEKDAY(Sheet_1_Table_1_134[[#This Row],[Lesson 4
Date 
(DD-MMM-YYYY)]])</f>
        <v>7</v>
      </c>
      <c r="BB35" s="65"/>
      <c r="BC35" s="66"/>
      <c r="BD35" s="66"/>
      <c r="BE35" s="63"/>
      <c r="BF35" s="64">
        <f>WEEKDAY(Sheet_1_Table_1_134[[#This Row],[Lesson 5
Date 
(DD-MMM-YYYY)]])</f>
        <v>7</v>
      </c>
      <c r="BG35" s="65"/>
      <c r="BH35" s="66"/>
      <c r="BI35" s="67"/>
      <c r="BJ35" s="68"/>
      <c r="BK35" s="64">
        <f>WEEKDAY(Sheet_1_Table_1_134[[#This Row],[Lesson 6
Date 
(DD-MMM-YYYY)]])</f>
        <v>7</v>
      </c>
      <c r="BL35" s="65"/>
      <c r="BM35" s="66"/>
      <c r="BN35" s="66"/>
      <c r="BO35" s="54" t="s">
        <v>293</v>
      </c>
      <c r="BP35" s="69" t="s">
        <v>650</v>
      </c>
      <c r="BQ35" s="56" t="s">
        <v>487</v>
      </c>
      <c r="BR35" s="57" t="s">
        <v>651</v>
      </c>
      <c r="BS35" s="52"/>
      <c r="BT35" s="56"/>
      <c r="BU35" s="56"/>
      <c r="BV35" s="70"/>
      <c r="BW35" s="60"/>
      <c r="BX35" s="71"/>
      <c r="BY35" s="56" t="s">
        <v>149</v>
      </c>
      <c r="BZ35" s="56"/>
      <c r="CA35" s="56" t="s">
        <v>149</v>
      </c>
      <c r="CB35" s="72"/>
      <c r="CC35" s="72"/>
      <c r="CD35" s="71"/>
      <c r="CE35" s="60" t="s">
        <v>440</v>
      </c>
      <c r="CF35" s="71" t="s">
        <v>441</v>
      </c>
      <c r="CG35" s="56" t="s">
        <v>442</v>
      </c>
      <c r="CH35" s="57" t="s">
        <v>443</v>
      </c>
      <c r="CI35" s="52" t="s">
        <v>146</v>
      </c>
      <c r="CJ35" s="52" t="s">
        <v>142</v>
      </c>
      <c r="CK35" s="52" t="s">
        <v>142</v>
      </c>
      <c r="CL35" s="52" t="s">
        <v>142</v>
      </c>
      <c r="CM35" s="52" t="s">
        <v>142</v>
      </c>
      <c r="CN35" s="52" t="s">
        <v>142</v>
      </c>
      <c r="CO35" s="52" t="s">
        <v>142</v>
      </c>
      <c r="CP35" s="52" t="s">
        <v>142</v>
      </c>
      <c r="CQ35" s="52" t="s">
        <v>146</v>
      </c>
      <c r="CR35" s="52" t="s">
        <v>146</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N35" s="790"/>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35</v>
      </c>
      <c r="B36" s="49">
        <v>202609</v>
      </c>
      <c r="C36" s="50" t="s">
        <v>652</v>
      </c>
      <c r="D36" s="50" t="s">
        <v>174</v>
      </c>
      <c r="E36" s="51">
        <v>5885</v>
      </c>
      <c r="F36" s="461" t="s">
        <v>134</v>
      </c>
      <c r="G36" s="462" t="s">
        <v>427</v>
      </c>
      <c r="H36" s="295"/>
      <c r="I36" s="298"/>
      <c r="J36" s="224"/>
      <c r="K36" s="60" t="s">
        <v>653</v>
      </c>
      <c r="L36" s="53"/>
      <c r="M36" s="72" t="s">
        <v>654</v>
      </c>
      <c r="N36" s="70" t="s">
        <v>655</v>
      </c>
      <c r="O36" s="192" t="s">
        <v>146</v>
      </c>
      <c r="P36" s="193" t="s">
        <v>146</v>
      </c>
      <c r="Q36" s="60" t="s">
        <v>434</v>
      </c>
      <c r="R36" s="200" t="str">
        <f>VLOOKUP(Sheet_1_Table_1_134[[#This Row],[Learning Domain]],[1]List!$A$7:$B$12,2,0)</f>
        <v>IED</v>
      </c>
      <c r="S36" s="52">
        <v>40</v>
      </c>
      <c r="T36" s="55">
        <v>0</v>
      </c>
      <c r="U36" s="55">
        <v>0</v>
      </c>
      <c r="V36" s="55">
        <v>0</v>
      </c>
      <c r="W36" s="55">
        <v>0</v>
      </c>
      <c r="X36" s="55">
        <v>0</v>
      </c>
      <c r="Y36" s="55">
        <v>0</v>
      </c>
      <c r="Z36" s="55">
        <v>0</v>
      </c>
      <c r="AA36" s="55">
        <v>60</v>
      </c>
      <c r="AB36" s="53">
        <f>SUM(Sheet_1_Table_1_134[[#This Row],[Leadership LS]:[Career Development  CR]])</f>
        <v>100</v>
      </c>
      <c r="AC36" s="52" t="s">
        <v>199</v>
      </c>
      <c r="AD36" s="55" t="s">
        <v>190</v>
      </c>
      <c r="AE36" s="55" t="s">
        <v>142</v>
      </c>
      <c r="AF36" s="55" t="s">
        <v>146</v>
      </c>
      <c r="AG36" s="55" t="s">
        <v>142</v>
      </c>
      <c r="AH36" s="55">
        <v>1.5</v>
      </c>
      <c r="AI36" s="55">
        <v>50</v>
      </c>
      <c r="AJ36" s="62">
        <f>Sheet_1_Table_1_134[[#This Row],[ILP Units Per Session]]*Sheet_1_Table_1_134[[#This Row],[Quota]]</f>
        <v>75</v>
      </c>
      <c r="AK36" s="310">
        <v>46325</v>
      </c>
      <c r="AL36" s="312" t="s">
        <v>656</v>
      </c>
      <c r="AM36" s="314">
        <v>0.66666666666666663</v>
      </c>
      <c r="AN36" s="316">
        <v>0.72916666666666663</v>
      </c>
      <c r="AO36" s="318" t="s">
        <v>657</v>
      </c>
      <c r="AP36" s="68"/>
      <c r="AQ36" s="64">
        <f>WEEKDAY(Sheet_1_Table_1_134[[#This Row],[Lesson 2
Date 
(DD-MMM-YYYY)]])</f>
        <v>7</v>
      </c>
      <c r="AR36" s="65"/>
      <c r="AS36" s="66"/>
      <c r="AT36" s="66"/>
      <c r="AU36" s="63"/>
      <c r="AV36" s="64">
        <f>WEEKDAY(Sheet_1_Table_1_134[[#This Row],[Lesson 3
Date 
(DD-MMM-YYYY)]])</f>
        <v>7</v>
      </c>
      <c r="AW36" s="65"/>
      <c r="AX36" s="66"/>
      <c r="AY36" s="67"/>
      <c r="AZ36" s="68"/>
      <c r="BA36" s="64">
        <f>WEEKDAY(Sheet_1_Table_1_134[[#This Row],[Lesson 4
Date 
(DD-MMM-YYYY)]])</f>
        <v>7</v>
      </c>
      <c r="BB36" s="65"/>
      <c r="BC36" s="66"/>
      <c r="BD36" s="66"/>
      <c r="BE36" s="63"/>
      <c r="BF36" s="64">
        <f>WEEKDAY(Sheet_1_Table_1_134[[#This Row],[Lesson 5
Date 
(DD-MMM-YYYY)]])</f>
        <v>7</v>
      </c>
      <c r="BG36" s="65"/>
      <c r="BH36" s="66"/>
      <c r="BI36" s="67"/>
      <c r="BJ36" s="68"/>
      <c r="BK36" s="64">
        <f>WEEKDAY(Sheet_1_Table_1_134[[#This Row],[Lesson 6
Date 
(DD-MMM-YYYY)]])</f>
        <v>7</v>
      </c>
      <c r="BL36" s="65"/>
      <c r="BM36" s="66"/>
      <c r="BN36" s="66"/>
      <c r="BO36" s="772" t="s">
        <v>658</v>
      </c>
      <c r="BP36" s="69"/>
      <c r="BQ36" s="56"/>
      <c r="BR36" s="57"/>
      <c r="BS36" s="52"/>
      <c r="BT36" s="56"/>
      <c r="BU36" s="56"/>
      <c r="BV36" s="70"/>
      <c r="BW36" s="60"/>
      <c r="BX36" s="71"/>
      <c r="BY36" s="56"/>
      <c r="BZ36" s="56"/>
      <c r="CA36" s="56"/>
      <c r="CB36" s="72"/>
      <c r="CC36" s="72"/>
      <c r="CD36" s="71"/>
      <c r="CE36" s="60" t="s">
        <v>440</v>
      </c>
      <c r="CF36" s="71" t="s">
        <v>441</v>
      </c>
      <c r="CG36" s="56" t="s">
        <v>450</v>
      </c>
      <c r="CH36" s="57" t="s">
        <v>451</v>
      </c>
      <c r="CI36" s="52" t="s">
        <v>142</v>
      </c>
      <c r="CJ36" s="52" t="s">
        <v>146</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N36" s="790"/>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36</v>
      </c>
      <c r="B37" s="292">
        <v>202609</v>
      </c>
      <c r="C37" s="257" t="s">
        <v>659</v>
      </c>
      <c r="D37" s="257" t="s">
        <v>205</v>
      </c>
      <c r="E37" s="258">
        <v>5892</v>
      </c>
      <c r="F37" s="293" t="s">
        <v>134</v>
      </c>
      <c r="G37" s="259" t="s">
        <v>427</v>
      </c>
      <c r="H37" s="296" t="s">
        <v>428</v>
      </c>
      <c r="I37" s="299" t="s">
        <v>429</v>
      </c>
      <c r="J37" s="303" t="s">
        <v>471</v>
      </c>
      <c r="K37" s="260" t="s">
        <v>472</v>
      </c>
      <c r="L37" s="259" t="s">
        <v>660</v>
      </c>
      <c r="M37" s="304" t="s">
        <v>474</v>
      </c>
      <c r="N37" s="305" t="s">
        <v>556</v>
      </c>
      <c r="O37" s="306" t="s">
        <v>146</v>
      </c>
      <c r="P37" s="307" t="s">
        <v>146</v>
      </c>
      <c r="Q37" s="261" t="s">
        <v>434</v>
      </c>
      <c r="R37" s="262" t="s">
        <v>661</v>
      </c>
      <c r="S37" s="308">
        <v>30</v>
      </c>
      <c r="T37" s="263">
        <v>0</v>
      </c>
      <c r="U37" s="263">
        <v>0</v>
      </c>
      <c r="V37" s="263">
        <v>0</v>
      </c>
      <c r="W37" s="263">
        <v>70</v>
      </c>
      <c r="X37" s="263">
        <v>0</v>
      </c>
      <c r="Y37" s="263">
        <v>0</v>
      </c>
      <c r="Z37" s="263">
        <v>0</v>
      </c>
      <c r="AA37" s="263">
        <v>0</v>
      </c>
      <c r="AB37" s="258">
        <v>100</v>
      </c>
      <c r="AC37" s="308" t="s">
        <v>144</v>
      </c>
      <c r="AD37" s="263" t="s">
        <v>386</v>
      </c>
      <c r="AE37" s="263" t="s">
        <v>146</v>
      </c>
      <c r="AF37" s="263" t="s">
        <v>142</v>
      </c>
      <c r="AG37" s="263" t="s">
        <v>142</v>
      </c>
      <c r="AH37" s="263">
        <v>1</v>
      </c>
      <c r="AI37" s="263">
        <v>100</v>
      </c>
      <c r="AJ37" s="264">
        <v>200</v>
      </c>
      <c r="AK37" s="265">
        <v>46330</v>
      </c>
      <c r="AL37" s="266">
        <f>WEEKDAY(Sheet_1_Table_1_134[[#This Row],[Lesson 1 
Date 
(DD-MMM-YYYY)]])</f>
        <v>4</v>
      </c>
      <c r="AM37" s="267">
        <v>0.79166666666666663</v>
      </c>
      <c r="AN37" s="268">
        <v>0.875</v>
      </c>
      <c r="AO37" s="269" t="s">
        <v>557</v>
      </c>
      <c r="AP37" s="270"/>
      <c r="AQ37" s="266">
        <v>7</v>
      </c>
      <c r="AR37" s="267"/>
      <c r="AS37" s="268"/>
      <c r="AT37" s="268"/>
      <c r="AU37" s="265"/>
      <c r="AV37" s="266">
        <v>7</v>
      </c>
      <c r="AW37" s="267"/>
      <c r="AX37" s="268"/>
      <c r="AY37" s="269"/>
      <c r="AZ37" s="270"/>
      <c r="BA37" s="266">
        <v>7</v>
      </c>
      <c r="BB37" s="267"/>
      <c r="BC37" s="268"/>
      <c r="BD37" s="268"/>
      <c r="BE37" s="265"/>
      <c r="BF37" s="266">
        <v>7</v>
      </c>
      <c r="BG37" s="267"/>
      <c r="BH37" s="268"/>
      <c r="BI37" s="269"/>
      <c r="BJ37" s="270"/>
      <c r="BK37" s="266">
        <v>7</v>
      </c>
      <c r="BL37" s="267"/>
      <c r="BM37" s="268"/>
      <c r="BN37" s="268"/>
      <c r="BO37" s="271"/>
      <c r="BP37" s="272" t="s">
        <v>477</v>
      </c>
      <c r="BQ37" s="273"/>
      <c r="BR37" s="274"/>
      <c r="BS37" s="308"/>
      <c r="BT37" s="273"/>
      <c r="BU37" s="273"/>
      <c r="BV37" s="320"/>
      <c r="BW37" s="261"/>
      <c r="BX37" s="321"/>
      <c r="BY37" s="273"/>
      <c r="BZ37" s="273"/>
      <c r="CA37" s="273"/>
      <c r="CB37" s="275" t="s">
        <v>662</v>
      </c>
      <c r="CC37" s="275" t="s">
        <v>663</v>
      </c>
      <c r="CD37" s="321">
        <v>61094085</v>
      </c>
      <c r="CE37" s="261" t="s">
        <v>440</v>
      </c>
      <c r="CF37" s="321" t="s">
        <v>441</v>
      </c>
      <c r="CG37" s="273" t="s">
        <v>478</v>
      </c>
      <c r="CH37" s="274" t="s">
        <v>479</v>
      </c>
      <c r="CI37" s="308" t="s">
        <v>142</v>
      </c>
      <c r="CJ37" s="308" t="s">
        <v>142</v>
      </c>
      <c r="CK37" s="308" t="s">
        <v>142</v>
      </c>
      <c r="CL37" s="308" t="s">
        <v>142</v>
      </c>
      <c r="CM37" s="308" t="s">
        <v>146</v>
      </c>
      <c r="CN37" s="308" t="s">
        <v>146</v>
      </c>
      <c r="CO37" s="308" t="s">
        <v>142</v>
      </c>
      <c r="CP37" s="308" t="s">
        <v>142</v>
      </c>
      <c r="CQ37" s="308" t="s">
        <v>142</v>
      </c>
      <c r="CR37" s="308" t="s">
        <v>142</v>
      </c>
      <c r="CS37" s="308" t="s">
        <v>142</v>
      </c>
      <c r="CT37" s="308" t="s">
        <v>142</v>
      </c>
      <c r="CU37" s="308" t="s">
        <v>142</v>
      </c>
      <c r="CV37" s="308" t="s">
        <v>142</v>
      </c>
      <c r="CW37" s="308" t="s">
        <v>142</v>
      </c>
      <c r="CX37" s="308" t="s">
        <v>142</v>
      </c>
      <c r="CY37" s="308" t="s">
        <v>142</v>
      </c>
      <c r="CZ37" s="325" t="s">
        <v>142</v>
      </c>
      <c r="DA37" s="271" t="s">
        <v>154</v>
      </c>
      <c r="DB37" s="257" t="s">
        <v>155</v>
      </c>
      <c r="DC37" s="257" t="s">
        <v>156</v>
      </c>
      <c r="DD37" s="257" t="s">
        <v>146</v>
      </c>
      <c r="DE37" s="257" t="s">
        <v>157</v>
      </c>
      <c r="DF37" s="257" t="s">
        <v>146</v>
      </c>
      <c r="DG37" s="276"/>
      <c r="DH37" s="276"/>
      <c r="DI37" s="326"/>
      <c r="DJ37" s="276"/>
      <c r="DK37" s="277" t="s">
        <v>146</v>
      </c>
      <c r="DL37" s="277" t="s">
        <v>146</v>
      </c>
      <c r="DM37" s="277" t="s">
        <v>146</v>
      </c>
      <c r="DN37" s="790"/>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37</v>
      </c>
      <c r="B38" s="49">
        <v>202609</v>
      </c>
      <c r="C38" s="50" t="s">
        <v>664</v>
      </c>
      <c r="D38" s="50" t="s">
        <v>205</v>
      </c>
      <c r="E38" s="51">
        <v>5917</v>
      </c>
      <c r="F38" s="461" t="s">
        <v>134</v>
      </c>
      <c r="G38" s="462" t="s">
        <v>427</v>
      </c>
      <c r="H38" s="295" t="s">
        <v>453</v>
      </c>
      <c r="I38" s="298" t="s">
        <v>454</v>
      </c>
      <c r="J38" s="224" t="s">
        <v>665</v>
      </c>
      <c r="K38" s="141" t="s">
        <v>666</v>
      </c>
      <c r="L38" s="53"/>
      <c r="M38" s="72" t="s">
        <v>667</v>
      </c>
      <c r="N38" s="70" t="s">
        <v>668</v>
      </c>
      <c r="O38" s="192" t="s">
        <v>146</v>
      </c>
      <c r="P38" s="193" t="s">
        <v>146</v>
      </c>
      <c r="Q38" s="60" t="s">
        <v>434</v>
      </c>
      <c r="R38" s="200" t="str">
        <f>VLOOKUP(Sheet_1_Table_1_134[[#This Row],[Learning Domain]],[1]List!$A$7:$B$12,2,0)</f>
        <v>IED</v>
      </c>
      <c r="S38" s="52">
        <v>20</v>
      </c>
      <c r="T38" s="55">
        <v>10</v>
      </c>
      <c r="U38" s="55">
        <v>0</v>
      </c>
      <c r="V38" s="55">
        <v>0</v>
      </c>
      <c r="W38" s="55">
        <v>0</v>
      </c>
      <c r="X38" s="55">
        <v>0</v>
      </c>
      <c r="Y38" s="55">
        <v>0</v>
      </c>
      <c r="Z38" s="55">
        <v>0</v>
      </c>
      <c r="AA38" s="55">
        <v>70</v>
      </c>
      <c r="AB38" s="53">
        <f>SUM(Sheet_1_Table_1_134[[#This Row],[Leadership LS]:[Career Development  CR]])</f>
        <v>100</v>
      </c>
      <c r="AC38" s="52" t="s">
        <v>199</v>
      </c>
      <c r="AD38" s="55" t="s">
        <v>190</v>
      </c>
      <c r="AE38" s="55" t="s">
        <v>142</v>
      </c>
      <c r="AF38" s="55" t="s">
        <v>146</v>
      </c>
      <c r="AG38" s="55" t="s">
        <v>142</v>
      </c>
      <c r="AH38" s="55">
        <v>2</v>
      </c>
      <c r="AI38" s="55">
        <v>20</v>
      </c>
      <c r="AJ38" s="62">
        <f>Sheet_1_Table_1_134[[#This Row],[ILP Units Per Session]]*Sheet_1_Table_1_134[[#This Row],[Quota]]</f>
        <v>40</v>
      </c>
      <c r="AK38" s="284">
        <v>46330</v>
      </c>
      <c r="AL38" s="64">
        <f>WEEKDAY(Sheet_1_Table_1_134[[#This Row],[Lesson 1 
Date 
(DD-MMM-YYYY)]])</f>
        <v>4</v>
      </c>
      <c r="AM38" s="65">
        <v>0.64583333333333337</v>
      </c>
      <c r="AN38" s="66">
        <v>0.72916666666666663</v>
      </c>
      <c r="AO38" s="183" t="s">
        <v>669</v>
      </c>
      <c r="AP38" s="68"/>
      <c r="AQ38" s="64">
        <f>WEEKDAY(Sheet_1_Table_1_134[[#This Row],[Lesson 2
Date 
(DD-MMM-YYYY)]])</f>
        <v>7</v>
      </c>
      <c r="AR38" s="65"/>
      <c r="AS38" s="66"/>
      <c r="AT38" s="66"/>
      <c r="AU38" s="63"/>
      <c r="AV38" s="64">
        <f>WEEKDAY(Sheet_1_Table_1_134[[#This Row],[Lesson 3
Date 
(DD-MMM-YYYY)]])</f>
        <v>7</v>
      </c>
      <c r="AW38" s="65"/>
      <c r="AX38" s="66"/>
      <c r="AY38" s="67"/>
      <c r="AZ38" s="68"/>
      <c r="BA38" s="64">
        <f>WEEKDAY(Sheet_1_Table_1_134[[#This Row],[Lesson 4
Date 
(DD-MMM-YYYY)]])</f>
        <v>7</v>
      </c>
      <c r="BB38" s="65"/>
      <c r="BC38" s="66"/>
      <c r="BD38" s="66"/>
      <c r="BE38" s="63"/>
      <c r="BF38" s="64">
        <f>WEEKDAY(Sheet_1_Table_1_134[[#This Row],[Lesson 5
Date 
(DD-MMM-YYYY)]])</f>
        <v>7</v>
      </c>
      <c r="BG38" s="65"/>
      <c r="BH38" s="66"/>
      <c r="BI38" s="67"/>
      <c r="BJ38" s="68"/>
      <c r="BK38" s="64">
        <f>WEEKDAY(Sheet_1_Table_1_134[[#This Row],[Lesson 6
Date 
(DD-MMM-YYYY)]])</f>
        <v>7</v>
      </c>
      <c r="BL38" s="65"/>
      <c r="BM38" s="66"/>
      <c r="BN38" s="66"/>
      <c r="BO38" s="54" t="s">
        <v>163</v>
      </c>
      <c r="BP38" s="69" t="s">
        <v>670</v>
      </c>
      <c r="BQ38" s="56" t="s">
        <v>490</v>
      </c>
      <c r="BR38" s="285" t="s">
        <v>671</v>
      </c>
      <c r="BS38" s="52"/>
      <c r="BT38" s="56"/>
      <c r="BU38" s="56"/>
      <c r="BV38" s="70"/>
      <c r="BW38" s="60"/>
      <c r="BX38" s="71"/>
      <c r="BY38" s="56"/>
      <c r="BZ38" s="56"/>
      <c r="CA38" s="56"/>
      <c r="CB38" s="72"/>
      <c r="CC38" s="72"/>
      <c r="CD38" s="71"/>
      <c r="CE38" s="60" t="s">
        <v>672</v>
      </c>
      <c r="CF38" s="71" t="s">
        <v>673</v>
      </c>
      <c r="CG38" s="69" t="s">
        <v>271</v>
      </c>
      <c r="CH38" s="137" t="s">
        <v>272</v>
      </c>
      <c r="CI38" s="52" t="s">
        <v>146</v>
      </c>
      <c r="CJ38" s="52" t="s">
        <v>142</v>
      </c>
      <c r="CK38" s="52" t="s">
        <v>142</v>
      </c>
      <c r="CL38" s="52" t="s">
        <v>142</v>
      </c>
      <c r="CM38" s="52" t="s">
        <v>142</v>
      </c>
      <c r="CN38" s="52" t="s">
        <v>142</v>
      </c>
      <c r="CO38" s="52" t="s">
        <v>142</v>
      </c>
      <c r="CP38" s="52" t="s">
        <v>142</v>
      </c>
      <c r="CQ38" s="52" t="s">
        <v>146</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N38" s="790"/>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38</v>
      </c>
      <c r="B39" s="49">
        <v>202609</v>
      </c>
      <c r="C39" s="50" t="s">
        <v>674</v>
      </c>
      <c r="D39" s="50" t="s">
        <v>205</v>
      </c>
      <c r="E39" s="51">
        <v>5896</v>
      </c>
      <c r="F39" s="461" t="s">
        <v>134</v>
      </c>
      <c r="G39" s="462" t="s">
        <v>427</v>
      </c>
      <c r="H39" s="295"/>
      <c r="I39" s="298"/>
      <c r="J39" s="280" t="s">
        <v>675</v>
      </c>
      <c r="K39" s="60" t="s">
        <v>676</v>
      </c>
      <c r="L39" s="53"/>
      <c r="M39" s="72" t="s">
        <v>677</v>
      </c>
      <c r="N39" s="70" t="s">
        <v>678</v>
      </c>
      <c r="O39" s="192" t="s">
        <v>146</v>
      </c>
      <c r="P39" s="193" t="s">
        <v>146</v>
      </c>
      <c r="Q39" s="60" t="s">
        <v>434</v>
      </c>
      <c r="R39" s="200" t="str">
        <f>VLOOKUP(Sheet_1_Table_1_134[[#This Row],[Learning Domain]],[1]List!$A$7:$B$12,2,0)</f>
        <v>IED</v>
      </c>
      <c r="S39" s="52">
        <v>30</v>
      </c>
      <c r="T39" s="55">
        <v>0</v>
      </c>
      <c r="U39" s="55">
        <v>0</v>
      </c>
      <c r="V39" s="55">
        <v>0</v>
      </c>
      <c r="W39" s="55">
        <v>0</v>
      </c>
      <c r="X39" s="55">
        <v>0</v>
      </c>
      <c r="Y39" s="55">
        <v>0</v>
      </c>
      <c r="Z39" s="55">
        <v>70</v>
      </c>
      <c r="AA39" s="55">
        <v>0</v>
      </c>
      <c r="AB39" s="53">
        <f>SUM(Sheet_1_Table_1_134[[#This Row],[Leadership LS]:[Career Development  CR]])</f>
        <v>100</v>
      </c>
      <c r="AC39" s="97" t="s">
        <v>144</v>
      </c>
      <c r="AD39" s="55" t="s">
        <v>190</v>
      </c>
      <c r="AE39" s="55" t="s">
        <v>142</v>
      </c>
      <c r="AF39" s="55" t="s">
        <v>146</v>
      </c>
      <c r="AG39" s="55" t="s">
        <v>142</v>
      </c>
      <c r="AH39" s="55">
        <v>1</v>
      </c>
      <c r="AI39" s="174">
        <v>40</v>
      </c>
      <c r="AJ39" s="62">
        <f>Sheet_1_Table_1_134[[#This Row],[ILP Units Per Session]]*Sheet_1_Table_1_134[[#This Row],[Quota]]</f>
        <v>40</v>
      </c>
      <c r="AK39" s="63">
        <v>46335</v>
      </c>
      <c r="AL39" s="64">
        <f>WEEKDAY(Sheet_1_Table_1_134[[#This Row],[Lesson 1 
Date 
(DD-MMM-YYYY)]])</f>
        <v>2</v>
      </c>
      <c r="AM39" s="65">
        <v>0.66666666666666663</v>
      </c>
      <c r="AN39" s="66">
        <v>0.70833333333333337</v>
      </c>
      <c r="AO39" s="183" t="s">
        <v>191</v>
      </c>
      <c r="AP39" s="68"/>
      <c r="AQ39" s="64">
        <f>WEEKDAY(Sheet_1_Table_1_134[[#This Row],[Lesson 2
Date 
(DD-MMM-YYYY)]])</f>
        <v>7</v>
      </c>
      <c r="AR39" s="65"/>
      <c r="AS39" s="66"/>
      <c r="AT39" s="126"/>
      <c r="AU39" s="63"/>
      <c r="AV39" s="64">
        <f>WEEKDAY(Sheet_1_Table_1_134[[#This Row],[Lesson 3
Date 
(DD-MMM-YYYY)]])</f>
        <v>7</v>
      </c>
      <c r="AW39" s="65"/>
      <c r="AX39" s="66"/>
      <c r="AY39" s="126"/>
      <c r="AZ39" s="98"/>
      <c r="BA39" s="64">
        <f>WEEKDAY(Sheet_1_Table_1_134[[#This Row],[Lesson 4
Date 
(DD-MMM-YYYY)]])</f>
        <v>7</v>
      </c>
      <c r="BB39" s="65"/>
      <c r="BC39" s="66"/>
      <c r="BD39" s="126"/>
      <c r="BE39" s="63"/>
      <c r="BF39" s="64">
        <f>WEEKDAY(Sheet_1_Table_1_134[[#This Row],[Lesson 5
Date 
(DD-MMM-YYYY)]])</f>
        <v>7</v>
      </c>
      <c r="BG39" s="65"/>
      <c r="BH39" s="66"/>
      <c r="BI39" s="126"/>
      <c r="BJ39" s="98"/>
      <c r="BK39" s="64">
        <f>WEEKDAY(Sheet_1_Table_1_134[[#This Row],[Lesson 6
Date 
(DD-MMM-YYYY)]])</f>
        <v>7</v>
      </c>
      <c r="BL39" s="65"/>
      <c r="BM39" s="66"/>
      <c r="BN39" s="99"/>
      <c r="BO39" s="54"/>
      <c r="BP39" s="69" t="s">
        <v>449</v>
      </c>
      <c r="BQ39" s="56"/>
      <c r="BR39" s="57"/>
      <c r="BS39" s="54"/>
      <c r="BT39" s="56"/>
      <c r="BU39" s="56"/>
      <c r="BV39" s="57"/>
      <c r="BW39" s="60"/>
      <c r="BX39" s="187"/>
      <c r="BY39" s="56"/>
      <c r="BZ39" s="56"/>
      <c r="CA39" s="56"/>
      <c r="CB39" s="72"/>
      <c r="CC39" s="72"/>
      <c r="CD39" s="72"/>
      <c r="CE39" s="60" t="s">
        <v>440</v>
      </c>
      <c r="CF39" s="72" t="s">
        <v>441</v>
      </c>
      <c r="CG39" s="56" t="s">
        <v>450</v>
      </c>
      <c r="CH39" s="57" t="s">
        <v>451</v>
      </c>
      <c r="CI39" s="52" t="s">
        <v>142</v>
      </c>
      <c r="CJ39" s="52" t="s">
        <v>142</v>
      </c>
      <c r="CK39" s="52" t="s">
        <v>142</v>
      </c>
      <c r="CL39" s="52" t="s">
        <v>142</v>
      </c>
      <c r="CM39" s="52" t="s">
        <v>142</v>
      </c>
      <c r="CN39" s="52" t="s">
        <v>142</v>
      </c>
      <c r="CO39" s="52" t="s">
        <v>142</v>
      </c>
      <c r="CP39" s="52" t="s">
        <v>142</v>
      </c>
      <c r="CQ39" s="52" t="s">
        <v>146</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N39" s="790" t="s">
        <v>2238</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39</v>
      </c>
      <c r="B40" s="49">
        <v>202609</v>
      </c>
      <c r="C40" s="50" t="s">
        <v>679</v>
      </c>
      <c r="D40" s="50" t="s">
        <v>205</v>
      </c>
      <c r="E40" s="51">
        <v>5920</v>
      </c>
      <c r="F40" s="461" t="s">
        <v>134</v>
      </c>
      <c r="G40" s="462" t="s">
        <v>427</v>
      </c>
      <c r="H40" s="80" t="s">
        <v>497</v>
      </c>
      <c r="I40" s="290" t="s">
        <v>498</v>
      </c>
      <c r="J40" s="224" t="s">
        <v>680</v>
      </c>
      <c r="K40" s="141" t="s">
        <v>681</v>
      </c>
      <c r="L40" s="53"/>
      <c r="M40" s="72" t="s">
        <v>682</v>
      </c>
      <c r="N40" s="70" t="s">
        <v>683</v>
      </c>
      <c r="O40" s="192" t="s">
        <v>146</v>
      </c>
      <c r="P40" s="193" t="s">
        <v>146</v>
      </c>
      <c r="Q40" s="60" t="s">
        <v>434</v>
      </c>
      <c r="R40" s="200" t="str">
        <f>VLOOKUP(Sheet_1_Table_1_134[[#This Row],[Learning Domain]],[1]List!$A$7:$B$12,2,0)</f>
        <v>IED</v>
      </c>
      <c r="S40" s="52">
        <v>20</v>
      </c>
      <c r="T40" s="55">
        <v>0</v>
      </c>
      <c r="U40" s="55">
        <v>0</v>
      </c>
      <c r="V40" s="55">
        <v>0</v>
      </c>
      <c r="W40" s="55">
        <v>0</v>
      </c>
      <c r="X40" s="55">
        <v>0</v>
      </c>
      <c r="Y40" s="55">
        <v>0</v>
      </c>
      <c r="Z40" s="55">
        <v>0</v>
      </c>
      <c r="AA40" s="55">
        <v>80</v>
      </c>
      <c r="AB40" s="53">
        <f>SUM(Sheet_1_Table_1_134[[#This Row],[Leadership LS]:[Career Development  CR]])</f>
        <v>100</v>
      </c>
      <c r="AC40" s="52" t="s">
        <v>199</v>
      </c>
      <c r="AD40" s="55" t="s">
        <v>190</v>
      </c>
      <c r="AE40" s="55" t="s">
        <v>142</v>
      </c>
      <c r="AF40" s="55" t="s">
        <v>142</v>
      </c>
      <c r="AG40" s="55" t="s">
        <v>146</v>
      </c>
      <c r="AH40" s="55">
        <v>2</v>
      </c>
      <c r="AI40" s="55">
        <v>30</v>
      </c>
      <c r="AJ40" s="62">
        <f>Sheet_1_Table_1_134[[#This Row],[ILP Units Per Session]]*Sheet_1_Table_1_134[[#This Row],[Quota]]</f>
        <v>60</v>
      </c>
      <c r="AK40" s="63">
        <v>46336</v>
      </c>
      <c r="AL40" s="64">
        <f>WEEKDAY(Sheet_1_Table_1_134[[#This Row],[Lesson 1 
Date 
(DD-MMM-YYYY)]])</f>
        <v>3</v>
      </c>
      <c r="AM40" s="181">
        <v>0.6875</v>
      </c>
      <c r="AN40" s="182">
        <v>0.77083333333333337</v>
      </c>
      <c r="AO40" s="183" t="s">
        <v>684</v>
      </c>
      <c r="AP40" s="68"/>
      <c r="AQ40" s="64">
        <f>WEEKDAY(Sheet_1_Table_1_134[[#This Row],[Lesson 2
Date 
(DD-MMM-YYYY)]])</f>
        <v>7</v>
      </c>
      <c r="AR40" s="65"/>
      <c r="AS40" s="66"/>
      <c r="AT40" s="66"/>
      <c r="AU40" s="63"/>
      <c r="AV40" s="64">
        <f>WEEKDAY(Sheet_1_Table_1_134[[#This Row],[Lesson 3
Date 
(DD-MMM-YYYY)]])</f>
        <v>7</v>
      </c>
      <c r="AW40" s="65"/>
      <c r="AX40" s="66"/>
      <c r="AY40" s="67"/>
      <c r="AZ40" s="68"/>
      <c r="BA40" s="64">
        <f>WEEKDAY(Sheet_1_Table_1_134[[#This Row],[Lesson 4
Date 
(DD-MMM-YYYY)]])</f>
        <v>7</v>
      </c>
      <c r="BB40" s="65"/>
      <c r="BC40" s="66"/>
      <c r="BD40" s="66"/>
      <c r="BE40" s="63"/>
      <c r="BF40" s="64">
        <f>WEEKDAY(Sheet_1_Table_1_134[[#This Row],[Lesson 5
Date 
(DD-MMM-YYYY)]])</f>
        <v>7</v>
      </c>
      <c r="BG40" s="65"/>
      <c r="BH40" s="66"/>
      <c r="BI40" s="67"/>
      <c r="BJ40" s="68"/>
      <c r="BK40" s="64">
        <f>WEEKDAY(Sheet_1_Table_1_134[[#This Row],[Lesson 6
Date 
(DD-MMM-YYYY)]])</f>
        <v>7</v>
      </c>
      <c r="BL40" s="65"/>
      <c r="BM40" s="66"/>
      <c r="BN40" s="66"/>
      <c r="BO40" s="54" t="s">
        <v>293</v>
      </c>
      <c r="BP40" s="69" t="s">
        <v>503</v>
      </c>
      <c r="BQ40" s="56" t="s">
        <v>504</v>
      </c>
      <c r="BR40" s="57" t="s">
        <v>505</v>
      </c>
      <c r="BS40" s="52"/>
      <c r="BT40" s="56"/>
      <c r="BU40" s="56"/>
      <c r="BV40" s="70"/>
      <c r="BW40" s="60"/>
      <c r="BX40" s="71"/>
      <c r="BY40" s="56"/>
      <c r="BZ40" s="56"/>
      <c r="CA40" s="56"/>
      <c r="CB40" s="72"/>
      <c r="CC40" s="72"/>
      <c r="CD40" s="71"/>
      <c r="CE40" s="60" t="s">
        <v>440</v>
      </c>
      <c r="CF40" s="71" t="s">
        <v>441</v>
      </c>
      <c r="CG40" s="56" t="s">
        <v>494</v>
      </c>
      <c r="CH40" s="291" t="s">
        <v>495</v>
      </c>
      <c r="CI40" s="52" t="s">
        <v>142</v>
      </c>
      <c r="CJ40" s="52" t="s">
        <v>142</v>
      </c>
      <c r="CK40" s="52" t="s">
        <v>142</v>
      </c>
      <c r="CL40" s="52" t="s">
        <v>142</v>
      </c>
      <c r="CM40" s="52" t="s">
        <v>142</v>
      </c>
      <c r="CN40" s="52" t="s">
        <v>142</v>
      </c>
      <c r="CO40" s="52" t="s">
        <v>142</v>
      </c>
      <c r="CP40" s="52" t="s">
        <v>142</v>
      </c>
      <c r="CQ40" s="52" t="s">
        <v>146</v>
      </c>
      <c r="CR40" s="52" t="s">
        <v>146</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N40" s="790"/>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40</v>
      </c>
      <c r="B41" s="49">
        <v>202609</v>
      </c>
      <c r="C41" s="50" t="s">
        <v>685</v>
      </c>
      <c r="D41" s="50" t="s">
        <v>133</v>
      </c>
      <c r="E41" s="51">
        <v>5879</v>
      </c>
      <c r="F41" s="461" t="s">
        <v>134</v>
      </c>
      <c r="G41" s="462" t="s">
        <v>427</v>
      </c>
      <c r="H41" s="768" t="s">
        <v>428</v>
      </c>
      <c r="I41" s="769" t="s">
        <v>429</v>
      </c>
      <c r="J41" s="763" t="s">
        <v>686</v>
      </c>
      <c r="K41" s="764" t="s">
        <v>687</v>
      </c>
      <c r="L41" s="462"/>
      <c r="M41" s="652" t="s">
        <v>688</v>
      </c>
      <c r="N41" s="647" t="s">
        <v>689</v>
      </c>
      <c r="O41" s="220" t="s">
        <v>142</v>
      </c>
      <c r="P41" s="221" t="s">
        <v>142</v>
      </c>
      <c r="Q41" s="60" t="s">
        <v>434</v>
      </c>
      <c r="R41" s="194" t="str">
        <f>VLOOKUP(Sheet_1_Table_1_134[[#This Row],[Learning Domain]],[1]List!$A$7:$B$12,2,0)</f>
        <v>IED</v>
      </c>
      <c r="S41" s="461">
        <v>30</v>
      </c>
      <c r="T41" s="634">
        <v>0</v>
      </c>
      <c r="U41" s="634">
        <v>0</v>
      </c>
      <c r="V41" s="634">
        <v>0</v>
      </c>
      <c r="W41" s="634">
        <v>0</v>
      </c>
      <c r="X41" s="634">
        <v>0</v>
      </c>
      <c r="Y41" s="634">
        <v>0</v>
      </c>
      <c r="Z41" s="634">
        <v>0</v>
      </c>
      <c r="AA41" s="634">
        <v>70</v>
      </c>
      <c r="AB41" s="53">
        <f>SUM(Sheet_1_Table_1_134[[#This Row],[Leadership LS]:[Career Development  CR]])</f>
        <v>100</v>
      </c>
      <c r="AC41" s="52" t="s">
        <v>199</v>
      </c>
      <c r="AD41" s="55" t="s">
        <v>190</v>
      </c>
      <c r="AE41" s="55" t="s">
        <v>142</v>
      </c>
      <c r="AF41" s="55" t="s">
        <v>146</v>
      </c>
      <c r="AG41" s="55" t="s">
        <v>142</v>
      </c>
      <c r="AH41" s="55">
        <v>2</v>
      </c>
      <c r="AI41" s="55">
        <v>30</v>
      </c>
      <c r="AJ41" s="62">
        <f>Sheet_1_Table_1_134[[#This Row],[ILP Units Per Session]]*Sheet_1_Table_1_134[[#This Row],[Quota]]</f>
        <v>60</v>
      </c>
      <c r="AK41" s="63">
        <v>46338</v>
      </c>
      <c r="AL41" s="64">
        <f>WEEKDAY(Sheet_1_Table_1_134[[#This Row],[Lesson 1 
Date 
(DD-MMM-YYYY)]])</f>
        <v>5</v>
      </c>
      <c r="AM41" s="65">
        <v>0.70833333333333337</v>
      </c>
      <c r="AN41" s="182">
        <v>0.8125</v>
      </c>
      <c r="AO41" s="183" t="s">
        <v>690</v>
      </c>
      <c r="AP41" s="68"/>
      <c r="AQ41" s="64">
        <f>WEEKDAY(Sheet_1_Table_1_134[[#This Row],[Lesson 2
Date 
(DD-MMM-YYYY)]])</f>
        <v>7</v>
      </c>
      <c r="AR41" s="65"/>
      <c r="AS41" s="66"/>
      <c r="AT41" s="66"/>
      <c r="AU41" s="63"/>
      <c r="AV41" s="64">
        <f>WEEKDAY(Sheet_1_Table_1_134[[#This Row],[Lesson 3
Date 
(DD-MMM-YYYY)]])</f>
        <v>7</v>
      </c>
      <c r="AW41" s="65"/>
      <c r="AX41" s="66"/>
      <c r="AY41" s="67"/>
      <c r="AZ41" s="68"/>
      <c r="BA41" s="64">
        <f>WEEKDAY(Sheet_1_Table_1_134[[#This Row],[Lesson 4
Date 
(DD-MMM-YYYY)]])</f>
        <v>7</v>
      </c>
      <c r="BB41" s="65"/>
      <c r="BC41" s="66"/>
      <c r="BD41" s="66"/>
      <c r="BE41" s="63"/>
      <c r="BF41" s="64">
        <f>WEEKDAY(Sheet_1_Table_1_134[[#This Row],[Lesson 5
Date 
(DD-MMM-YYYY)]])</f>
        <v>7</v>
      </c>
      <c r="BG41" s="65"/>
      <c r="BH41" s="66"/>
      <c r="BI41" s="67"/>
      <c r="BJ41" s="68"/>
      <c r="BK41" s="64">
        <f>WEEKDAY(Sheet_1_Table_1_134[[#This Row],[Lesson 6
Date 
(DD-MMM-YYYY)]])</f>
        <v>7</v>
      </c>
      <c r="BL41" s="65"/>
      <c r="BM41" s="66"/>
      <c r="BN41" s="66"/>
      <c r="BO41" s="54" t="s">
        <v>293</v>
      </c>
      <c r="BP41" s="69" t="s">
        <v>691</v>
      </c>
      <c r="BQ41" s="56" t="s">
        <v>692</v>
      </c>
      <c r="BR41" s="57" t="s">
        <v>693</v>
      </c>
      <c r="BS41" s="52"/>
      <c r="BT41" s="56"/>
      <c r="BU41" s="56"/>
      <c r="BV41" s="70"/>
      <c r="BW41" s="60"/>
      <c r="BX41" s="71"/>
      <c r="BY41" s="56"/>
      <c r="BZ41" s="56"/>
      <c r="CA41" s="56"/>
      <c r="CB41" s="72"/>
      <c r="CC41" s="72"/>
      <c r="CD41" s="71"/>
      <c r="CE41" s="60" t="s">
        <v>440</v>
      </c>
      <c r="CF41" s="71" t="s">
        <v>441</v>
      </c>
      <c r="CG41" s="56" t="s">
        <v>442</v>
      </c>
      <c r="CH41" s="57" t="s">
        <v>443</v>
      </c>
      <c r="CI41" s="52" t="s">
        <v>146</v>
      </c>
      <c r="CJ41" s="52" t="s">
        <v>142</v>
      </c>
      <c r="CK41" s="52" t="s">
        <v>142</v>
      </c>
      <c r="CL41" s="52" t="s">
        <v>142</v>
      </c>
      <c r="CM41" s="52" t="s">
        <v>142</v>
      </c>
      <c r="CN41" s="52" t="s">
        <v>142</v>
      </c>
      <c r="CO41" s="52" t="s">
        <v>142</v>
      </c>
      <c r="CP41" s="52" t="s">
        <v>142</v>
      </c>
      <c r="CQ41" s="52" t="s">
        <v>146</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N41" s="790"/>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41</v>
      </c>
      <c r="B42" s="49">
        <v>202609</v>
      </c>
      <c r="C42" s="50" t="s">
        <v>694</v>
      </c>
      <c r="D42" s="50" t="s">
        <v>205</v>
      </c>
      <c r="E42" s="51">
        <v>5886</v>
      </c>
      <c r="F42" s="461" t="s">
        <v>134</v>
      </c>
      <c r="G42" s="462" t="s">
        <v>427</v>
      </c>
      <c r="H42" s="768" t="s">
        <v>428</v>
      </c>
      <c r="I42" s="298"/>
      <c r="J42" s="224"/>
      <c r="K42" s="60" t="s">
        <v>695</v>
      </c>
      <c r="L42" s="53"/>
      <c r="M42" s="72" t="s">
        <v>696</v>
      </c>
      <c r="N42" s="70" t="s">
        <v>697</v>
      </c>
      <c r="O42" s="192" t="s">
        <v>146</v>
      </c>
      <c r="P42" s="193" t="s">
        <v>146</v>
      </c>
      <c r="Q42" s="60" t="s">
        <v>434</v>
      </c>
      <c r="R42" s="200" t="str">
        <f>VLOOKUP(Sheet_1_Table_1_134[[#This Row],[Learning Domain]],[1]List!$A$7:$B$12,2,0)</f>
        <v>IED</v>
      </c>
      <c r="S42" s="52">
        <v>20</v>
      </c>
      <c r="T42" s="55">
        <v>0</v>
      </c>
      <c r="U42" s="55">
        <v>0</v>
      </c>
      <c r="V42" s="55">
        <v>0</v>
      </c>
      <c r="W42" s="55">
        <v>0</v>
      </c>
      <c r="X42" s="55">
        <v>0</v>
      </c>
      <c r="Y42" s="55">
        <v>0</v>
      </c>
      <c r="Z42" s="55">
        <v>0</v>
      </c>
      <c r="AA42" s="55">
        <v>80</v>
      </c>
      <c r="AB42" s="53">
        <f>SUM(Sheet_1_Table_1_134[[#This Row],[Leadership LS]:[Career Development  CR]])</f>
        <v>100</v>
      </c>
      <c r="AC42" s="52" t="s">
        <v>199</v>
      </c>
      <c r="AD42" s="55" t="s">
        <v>190</v>
      </c>
      <c r="AE42" s="55" t="s">
        <v>142</v>
      </c>
      <c r="AF42" s="55" t="s">
        <v>146</v>
      </c>
      <c r="AG42" s="55" t="s">
        <v>142</v>
      </c>
      <c r="AH42" s="55">
        <v>1</v>
      </c>
      <c r="AI42" s="55">
        <v>50</v>
      </c>
      <c r="AJ42" s="62">
        <f>Sheet_1_Table_1_134[[#This Row],[ILP Units Per Session]]*Sheet_1_Table_1_134[[#This Row],[Quota]]</f>
        <v>50</v>
      </c>
      <c r="AK42" s="179">
        <v>46342</v>
      </c>
      <c r="AL42" s="64">
        <f>WEEKDAY(Sheet_1_Table_1_134[[#This Row],[Lesson 1 
Date 
(DD-MMM-YYYY)]])</f>
        <v>2</v>
      </c>
      <c r="AM42" s="65">
        <v>0.66666666666666663</v>
      </c>
      <c r="AN42" s="66">
        <v>0.70833333333333337</v>
      </c>
      <c r="AO42" s="183" t="s">
        <v>264</v>
      </c>
      <c r="AP42" s="68"/>
      <c r="AQ42" s="64">
        <f>WEEKDAY(Sheet_1_Table_1_134[[#This Row],[Lesson 2
Date 
(DD-MMM-YYYY)]])</f>
        <v>7</v>
      </c>
      <c r="AR42" s="65"/>
      <c r="AS42" s="66"/>
      <c r="AT42" s="66"/>
      <c r="AU42" s="63"/>
      <c r="AV42" s="64">
        <f>WEEKDAY(Sheet_1_Table_1_134[[#This Row],[Lesson 3
Date 
(DD-MMM-YYYY)]])</f>
        <v>7</v>
      </c>
      <c r="AW42" s="65"/>
      <c r="AX42" s="66"/>
      <c r="AY42" s="67"/>
      <c r="AZ42" s="68"/>
      <c r="BA42" s="64">
        <f>WEEKDAY(Sheet_1_Table_1_134[[#This Row],[Lesson 4
Date 
(DD-MMM-YYYY)]])</f>
        <v>7</v>
      </c>
      <c r="BB42" s="65"/>
      <c r="BC42" s="66"/>
      <c r="BD42" s="66"/>
      <c r="BE42" s="63"/>
      <c r="BF42" s="64">
        <f>WEEKDAY(Sheet_1_Table_1_134[[#This Row],[Lesson 5
Date 
(DD-MMM-YYYY)]])</f>
        <v>7</v>
      </c>
      <c r="BG42" s="65"/>
      <c r="BH42" s="66"/>
      <c r="BI42" s="67"/>
      <c r="BJ42" s="68"/>
      <c r="BK42" s="64">
        <f>WEEKDAY(Sheet_1_Table_1_134[[#This Row],[Lesson 6
Date 
(DD-MMM-YYYY)]])</f>
        <v>7</v>
      </c>
      <c r="BL42" s="65"/>
      <c r="BM42" s="66"/>
      <c r="BN42" s="66"/>
      <c r="BO42" s="772" t="s">
        <v>698</v>
      </c>
      <c r="BP42" s="69"/>
      <c r="BQ42" s="56"/>
      <c r="BR42" s="57"/>
      <c r="BS42" s="52"/>
      <c r="BT42" s="56"/>
      <c r="BU42" s="56"/>
      <c r="BV42" s="70"/>
      <c r="BW42" s="60"/>
      <c r="BX42" s="71"/>
      <c r="BY42" s="56"/>
      <c r="BZ42" s="56"/>
      <c r="CA42" s="56"/>
      <c r="CB42" s="72"/>
      <c r="CC42" s="72"/>
      <c r="CD42" s="71"/>
      <c r="CE42" s="60" t="s">
        <v>440</v>
      </c>
      <c r="CF42" s="71" t="s">
        <v>441</v>
      </c>
      <c r="CG42" s="56" t="s">
        <v>450</v>
      </c>
      <c r="CH42" s="57" t="s">
        <v>451</v>
      </c>
      <c r="CI42" s="52" t="s">
        <v>142</v>
      </c>
      <c r="CJ42" s="52" t="s">
        <v>142</v>
      </c>
      <c r="CK42" s="52" t="s">
        <v>142</v>
      </c>
      <c r="CL42" s="52" t="s">
        <v>142</v>
      </c>
      <c r="CM42" s="52" t="s">
        <v>142</v>
      </c>
      <c r="CN42" s="52" t="s">
        <v>142</v>
      </c>
      <c r="CO42" s="52" t="s">
        <v>142</v>
      </c>
      <c r="CP42" s="52" t="s">
        <v>142</v>
      </c>
      <c r="CQ42" s="52" t="s">
        <v>146</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N42" s="790"/>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42</v>
      </c>
      <c r="B43" s="292">
        <v>202609</v>
      </c>
      <c r="C43" s="257" t="s">
        <v>699</v>
      </c>
      <c r="D43" s="257" t="s">
        <v>133</v>
      </c>
      <c r="E43" s="258">
        <v>5893</v>
      </c>
      <c r="F43" s="293" t="s">
        <v>134</v>
      </c>
      <c r="G43" s="259" t="s">
        <v>427</v>
      </c>
      <c r="H43" s="296" t="s">
        <v>428</v>
      </c>
      <c r="I43" s="299" t="s">
        <v>429</v>
      </c>
      <c r="J43" s="303" t="s">
        <v>471</v>
      </c>
      <c r="K43" s="260" t="s">
        <v>472</v>
      </c>
      <c r="L43" s="259" t="s">
        <v>700</v>
      </c>
      <c r="M43" s="304" t="s">
        <v>474</v>
      </c>
      <c r="N43" s="305" t="s">
        <v>556</v>
      </c>
      <c r="O43" s="306" t="s">
        <v>142</v>
      </c>
      <c r="P43" s="307" t="s">
        <v>142</v>
      </c>
      <c r="Q43" s="261" t="s">
        <v>434</v>
      </c>
      <c r="R43" s="262" t="s">
        <v>661</v>
      </c>
      <c r="S43" s="308">
        <v>30</v>
      </c>
      <c r="T43" s="263">
        <v>0</v>
      </c>
      <c r="U43" s="263">
        <v>0</v>
      </c>
      <c r="V43" s="263">
        <v>0</v>
      </c>
      <c r="W43" s="263">
        <v>70</v>
      </c>
      <c r="X43" s="263">
        <v>0</v>
      </c>
      <c r="Y43" s="263">
        <v>0</v>
      </c>
      <c r="Z43" s="263">
        <v>0</v>
      </c>
      <c r="AA43" s="263">
        <v>0</v>
      </c>
      <c r="AB43" s="258">
        <v>100</v>
      </c>
      <c r="AC43" s="308" t="s">
        <v>144</v>
      </c>
      <c r="AD43" s="263" t="s">
        <v>190</v>
      </c>
      <c r="AE43" s="263" t="s">
        <v>146</v>
      </c>
      <c r="AF43" s="263" t="s">
        <v>142</v>
      </c>
      <c r="AG43" s="263" t="s">
        <v>142</v>
      </c>
      <c r="AH43" s="263">
        <v>1.5</v>
      </c>
      <c r="AI43" s="263">
        <v>25</v>
      </c>
      <c r="AJ43" s="264">
        <v>200</v>
      </c>
      <c r="AK43" s="265">
        <v>46351</v>
      </c>
      <c r="AL43" s="266"/>
      <c r="AM43" s="267">
        <v>0.79166666666666663</v>
      </c>
      <c r="AN43" s="268">
        <v>0.875</v>
      </c>
      <c r="AO43" s="269" t="s">
        <v>476</v>
      </c>
      <c r="AP43" s="270"/>
      <c r="AQ43" s="266">
        <v>7</v>
      </c>
      <c r="AR43" s="267"/>
      <c r="AS43" s="268"/>
      <c r="AT43" s="268"/>
      <c r="AU43" s="265"/>
      <c r="AV43" s="266">
        <v>7</v>
      </c>
      <c r="AW43" s="267"/>
      <c r="AX43" s="268"/>
      <c r="AY43" s="269"/>
      <c r="AZ43" s="270"/>
      <c r="BA43" s="266">
        <v>7</v>
      </c>
      <c r="BB43" s="267"/>
      <c r="BC43" s="268"/>
      <c r="BD43" s="268"/>
      <c r="BE43" s="265"/>
      <c r="BF43" s="266">
        <v>7</v>
      </c>
      <c r="BG43" s="267"/>
      <c r="BH43" s="268"/>
      <c r="BI43" s="269"/>
      <c r="BJ43" s="270"/>
      <c r="BK43" s="266">
        <v>7</v>
      </c>
      <c r="BL43" s="267"/>
      <c r="BM43" s="268"/>
      <c r="BN43" s="268"/>
      <c r="BO43" s="271"/>
      <c r="BP43" s="272" t="s">
        <v>477</v>
      </c>
      <c r="BQ43" s="273"/>
      <c r="BR43" s="274"/>
      <c r="BS43" s="308"/>
      <c r="BT43" s="273"/>
      <c r="BU43" s="273"/>
      <c r="BV43" s="320"/>
      <c r="BW43" s="261"/>
      <c r="BX43" s="321"/>
      <c r="BY43" s="273"/>
      <c r="BZ43" s="273"/>
      <c r="CA43" s="273"/>
      <c r="CB43" s="275"/>
      <c r="CC43" s="275"/>
      <c r="CD43" s="321"/>
      <c r="CE43" s="261" t="s">
        <v>440</v>
      </c>
      <c r="CF43" s="321" t="s">
        <v>441</v>
      </c>
      <c r="CG43" s="273" t="s">
        <v>478</v>
      </c>
      <c r="CH43" s="274" t="s">
        <v>479</v>
      </c>
      <c r="CI43" s="308" t="s">
        <v>142</v>
      </c>
      <c r="CJ43" s="308" t="s">
        <v>142</v>
      </c>
      <c r="CK43" s="308" t="s">
        <v>142</v>
      </c>
      <c r="CL43" s="308" t="s">
        <v>142</v>
      </c>
      <c r="CM43" s="308" t="s">
        <v>146</v>
      </c>
      <c r="CN43" s="308" t="s">
        <v>146</v>
      </c>
      <c r="CO43" s="308" t="s">
        <v>142</v>
      </c>
      <c r="CP43" s="308" t="s">
        <v>142</v>
      </c>
      <c r="CQ43" s="308" t="s">
        <v>142</v>
      </c>
      <c r="CR43" s="308" t="s">
        <v>142</v>
      </c>
      <c r="CS43" s="308" t="s">
        <v>142</v>
      </c>
      <c r="CT43" s="308" t="s">
        <v>142</v>
      </c>
      <c r="CU43" s="308" t="s">
        <v>142</v>
      </c>
      <c r="CV43" s="308" t="s">
        <v>142</v>
      </c>
      <c r="CW43" s="308" t="s">
        <v>142</v>
      </c>
      <c r="CX43" s="308" t="s">
        <v>142</v>
      </c>
      <c r="CY43" s="308" t="s">
        <v>142</v>
      </c>
      <c r="CZ43" s="325" t="s">
        <v>142</v>
      </c>
      <c r="DA43" s="271" t="s">
        <v>154</v>
      </c>
      <c r="DB43" s="257" t="s">
        <v>155</v>
      </c>
      <c r="DC43" s="257" t="s">
        <v>156</v>
      </c>
      <c r="DD43" s="257" t="s">
        <v>146</v>
      </c>
      <c r="DE43" s="257" t="s">
        <v>157</v>
      </c>
      <c r="DF43" s="257" t="s">
        <v>146</v>
      </c>
      <c r="DG43" s="276"/>
      <c r="DH43" s="276"/>
      <c r="DI43" s="326"/>
      <c r="DJ43" s="276"/>
      <c r="DK43" s="277" t="s">
        <v>146</v>
      </c>
      <c r="DL43" s="277" t="s">
        <v>146</v>
      </c>
      <c r="DM43" s="277" t="s">
        <v>146</v>
      </c>
      <c r="DN43" s="790"/>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43</v>
      </c>
      <c r="B44" s="49">
        <v>202609</v>
      </c>
      <c r="C44" s="50" t="s">
        <v>542</v>
      </c>
      <c r="D44" s="50" t="s">
        <v>133</v>
      </c>
      <c r="E44" s="51">
        <v>5907</v>
      </c>
      <c r="F44" s="461" t="s">
        <v>134</v>
      </c>
      <c r="G44" s="462" t="s">
        <v>427</v>
      </c>
      <c r="H44" s="767" t="s">
        <v>428</v>
      </c>
      <c r="I44" s="635" t="s">
        <v>429</v>
      </c>
      <c r="J44" s="763"/>
      <c r="K44" s="764" t="s">
        <v>543</v>
      </c>
      <c r="L44" s="462" t="s">
        <v>181</v>
      </c>
      <c r="M44" s="72" t="s">
        <v>544</v>
      </c>
      <c r="N44" s="70" t="s">
        <v>545</v>
      </c>
      <c r="O44" s="281" t="s">
        <v>142</v>
      </c>
      <c r="P44" s="282" t="s">
        <v>142</v>
      </c>
      <c r="Q44" s="60" t="s">
        <v>434</v>
      </c>
      <c r="R44" s="200" t="str">
        <f>VLOOKUP(Sheet_1_Table_1_134[[#This Row],[Learning Domain]],[1]List!$A$7:$B$12,2,0)</f>
        <v>IED</v>
      </c>
      <c r="S44" s="461">
        <v>0</v>
      </c>
      <c r="T44" s="634">
        <v>0</v>
      </c>
      <c r="U44" s="634">
        <v>0</v>
      </c>
      <c r="V44" s="634">
        <v>0</v>
      </c>
      <c r="W44" s="634">
        <v>0</v>
      </c>
      <c r="X44" s="634">
        <v>0</v>
      </c>
      <c r="Y44" s="634">
        <v>0</v>
      </c>
      <c r="Z44" s="634">
        <v>0</v>
      </c>
      <c r="AA44" s="634">
        <v>100</v>
      </c>
      <c r="AB44" s="53">
        <f>SUM(Sheet_1_Table_1_134[[#This Row],[Leadership LS]:[Career Development  CR]])</f>
        <v>100</v>
      </c>
      <c r="AC44" s="97" t="s">
        <v>199</v>
      </c>
      <c r="AD44" s="174" t="s">
        <v>386</v>
      </c>
      <c r="AE44" s="55" t="s">
        <v>146</v>
      </c>
      <c r="AF44" s="55" t="s">
        <v>142</v>
      </c>
      <c r="AG44" s="55" t="s">
        <v>142</v>
      </c>
      <c r="AH44" s="55">
        <v>1</v>
      </c>
      <c r="AI44" s="55">
        <v>60</v>
      </c>
      <c r="AJ44" s="62">
        <f>Sheet_1_Table_1_134[[#This Row],[ILP Units Per Session]]*Sheet_1_Table_1_134[[#This Row],[Quota]]</f>
        <v>60</v>
      </c>
      <c r="AK44" s="54" t="s">
        <v>701</v>
      </c>
      <c r="AL44" s="64" t="e">
        <f>WEEKDAY(Sheet_1_Table_1_134[[#This Row],[Lesson 1 
Date 
(DD-MMM-YYYY)]])</f>
        <v>#VALUE!</v>
      </c>
      <c r="AM44" s="65"/>
      <c r="AN44" s="66"/>
      <c r="AO44" s="67"/>
      <c r="AP44" s="68"/>
      <c r="AQ44" s="64">
        <f>WEEKDAY(Sheet_1_Table_1_134[[#This Row],[Lesson 2
Date 
(DD-MMM-YYYY)]])</f>
        <v>7</v>
      </c>
      <c r="AR44" s="65"/>
      <c r="AS44" s="66"/>
      <c r="AT44" s="126"/>
      <c r="AU44" s="63"/>
      <c r="AV44" s="64">
        <f>WEEKDAY(Sheet_1_Table_1_134[[#This Row],[Lesson 3
Date 
(DD-MMM-YYYY)]])</f>
        <v>7</v>
      </c>
      <c r="AW44" s="65"/>
      <c r="AX44" s="66"/>
      <c r="AY44" s="126"/>
      <c r="AZ44" s="98"/>
      <c r="BA44" s="64">
        <f>WEEKDAY(Sheet_1_Table_1_134[[#This Row],[Lesson 4
Date 
(DD-MMM-YYYY)]])</f>
        <v>7</v>
      </c>
      <c r="BB44" s="65"/>
      <c r="BC44" s="66"/>
      <c r="BD44" s="126"/>
      <c r="BE44" s="63"/>
      <c r="BF44" s="64">
        <f>WEEKDAY(Sheet_1_Table_1_134[[#This Row],[Lesson 5
Date 
(DD-MMM-YYYY)]])</f>
        <v>7</v>
      </c>
      <c r="BG44" s="65"/>
      <c r="BH44" s="66"/>
      <c r="BI44" s="126"/>
      <c r="BJ44" s="98"/>
      <c r="BK44" s="64">
        <f>WEEKDAY(Sheet_1_Table_1_134[[#This Row],[Lesson 6
Date 
(DD-MMM-YYYY)]])</f>
        <v>7</v>
      </c>
      <c r="BL44" s="65"/>
      <c r="BM44" s="66"/>
      <c r="BN44" s="99"/>
      <c r="BO44" s="54" t="s">
        <v>293</v>
      </c>
      <c r="BP44" s="69" t="s">
        <v>547</v>
      </c>
      <c r="BQ44" s="56" t="s">
        <v>548</v>
      </c>
      <c r="BR44" s="57" t="s">
        <v>549</v>
      </c>
      <c r="BS44" s="54"/>
      <c r="BT44" s="56"/>
      <c r="BU44" s="56"/>
      <c r="BV44" s="57"/>
      <c r="BW44" s="60"/>
      <c r="BX44" s="187"/>
      <c r="BY44" s="56"/>
      <c r="BZ44" s="56"/>
      <c r="CA44" s="56"/>
      <c r="CB44" s="72"/>
      <c r="CC44" s="72"/>
      <c r="CD44" s="72"/>
      <c r="CE44" s="60" t="s">
        <v>440</v>
      </c>
      <c r="CF44" s="72" t="s">
        <v>441</v>
      </c>
      <c r="CG44" s="56" t="s">
        <v>271</v>
      </c>
      <c r="CH44" s="57" t="s">
        <v>272</v>
      </c>
      <c r="CI44" s="52" t="s">
        <v>146</v>
      </c>
      <c r="CJ44" s="52" t="s">
        <v>142</v>
      </c>
      <c r="CK44" s="52" t="s">
        <v>142</v>
      </c>
      <c r="CL44" s="52" t="s">
        <v>142</v>
      </c>
      <c r="CM44" s="52" t="s">
        <v>142</v>
      </c>
      <c r="CN44" s="52" t="s">
        <v>142</v>
      </c>
      <c r="CO44" s="52" t="s">
        <v>142</v>
      </c>
      <c r="CP44" s="52" t="s">
        <v>142</v>
      </c>
      <c r="CQ44" s="52" t="s">
        <v>146</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N44" s="790"/>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44</v>
      </c>
      <c r="B45" s="49">
        <v>202609</v>
      </c>
      <c r="C45" s="50" t="s">
        <v>550</v>
      </c>
      <c r="D45" s="50" t="s">
        <v>133</v>
      </c>
      <c r="E45" s="51">
        <v>5909</v>
      </c>
      <c r="F45" s="461" t="s">
        <v>134</v>
      </c>
      <c r="G45" s="462" t="s">
        <v>427</v>
      </c>
      <c r="H45" s="767" t="s">
        <v>428</v>
      </c>
      <c r="I45" s="635" t="s">
        <v>429</v>
      </c>
      <c r="J45" s="763"/>
      <c r="K45" s="764" t="s">
        <v>551</v>
      </c>
      <c r="L45" s="462" t="s">
        <v>181</v>
      </c>
      <c r="M45" s="72" t="s">
        <v>552</v>
      </c>
      <c r="N45" s="70" t="s">
        <v>553</v>
      </c>
      <c r="O45" s="281" t="s">
        <v>142</v>
      </c>
      <c r="P45" s="282" t="s">
        <v>142</v>
      </c>
      <c r="Q45" s="60" t="s">
        <v>434</v>
      </c>
      <c r="R45" s="200" t="str">
        <f>VLOOKUP(Sheet_1_Table_1_134[[#This Row],[Learning Domain]],[1]List!$A$7:$B$12,2,0)</f>
        <v>IED</v>
      </c>
      <c r="S45" s="461">
        <v>0</v>
      </c>
      <c r="T45" s="634">
        <v>0</v>
      </c>
      <c r="U45" s="634">
        <v>0</v>
      </c>
      <c r="V45" s="634">
        <v>0</v>
      </c>
      <c r="W45" s="634">
        <v>0</v>
      </c>
      <c r="X45" s="634">
        <v>0</v>
      </c>
      <c r="Y45" s="634">
        <v>0</v>
      </c>
      <c r="Z45" s="634">
        <v>0</v>
      </c>
      <c r="AA45" s="634">
        <v>100</v>
      </c>
      <c r="AB45" s="53">
        <f>SUM(Sheet_1_Table_1_134[[#This Row],[Leadership LS]:[Career Development  CR]])</f>
        <v>100</v>
      </c>
      <c r="AC45" s="97" t="s">
        <v>199</v>
      </c>
      <c r="AD45" s="174" t="s">
        <v>386</v>
      </c>
      <c r="AE45" s="55" t="s">
        <v>146</v>
      </c>
      <c r="AF45" s="55" t="s">
        <v>142</v>
      </c>
      <c r="AG45" s="55" t="s">
        <v>142</v>
      </c>
      <c r="AH45" s="55">
        <v>1</v>
      </c>
      <c r="AI45" s="55">
        <v>60</v>
      </c>
      <c r="AJ45" s="62">
        <f>Sheet_1_Table_1_134[[#This Row],[ILP Units Per Session]]*Sheet_1_Table_1_134[[#This Row],[Quota]]</f>
        <v>60</v>
      </c>
      <c r="AK45" s="54" t="s">
        <v>701</v>
      </c>
      <c r="AL45" s="64" t="e">
        <f>WEEKDAY(Sheet_1_Table_1_134[[#This Row],[Lesson 1 
Date 
(DD-MMM-YYYY)]])</f>
        <v>#VALUE!</v>
      </c>
      <c r="AM45" s="65"/>
      <c r="AN45" s="66"/>
      <c r="AO45" s="67"/>
      <c r="AP45" s="68"/>
      <c r="AQ45" s="64">
        <f>WEEKDAY(Sheet_1_Table_1_134[[#This Row],[Lesson 2
Date 
(DD-MMM-YYYY)]])</f>
        <v>7</v>
      </c>
      <c r="AR45" s="65"/>
      <c r="AS45" s="66"/>
      <c r="AT45" s="126"/>
      <c r="AU45" s="63"/>
      <c r="AV45" s="64">
        <f>WEEKDAY(Sheet_1_Table_1_134[[#This Row],[Lesson 3
Date 
(DD-MMM-YYYY)]])</f>
        <v>7</v>
      </c>
      <c r="AW45" s="65"/>
      <c r="AX45" s="66"/>
      <c r="AY45" s="126"/>
      <c r="AZ45" s="98"/>
      <c r="BA45" s="64">
        <f>WEEKDAY(Sheet_1_Table_1_134[[#This Row],[Lesson 4
Date 
(DD-MMM-YYYY)]])</f>
        <v>7</v>
      </c>
      <c r="BB45" s="65"/>
      <c r="BC45" s="66"/>
      <c r="BD45" s="126"/>
      <c r="BE45" s="63"/>
      <c r="BF45" s="64">
        <f>WEEKDAY(Sheet_1_Table_1_134[[#This Row],[Lesson 5
Date 
(DD-MMM-YYYY)]])</f>
        <v>7</v>
      </c>
      <c r="BG45" s="65"/>
      <c r="BH45" s="66"/>
      <c r="BI45" s="126"/>
      <c r="BJ45" s="98"/>
      <c r="BK45" s="64">
        <f>WEEKDAY(Sheet_1_Table_1_134[[#This Row],[Lesson 6
Date 
(DD-MMM-YYYY)]])</f>
        <v>7</v>
      </c>
      <c r="BL45" s="65"/>
      <c r="BM45" s="66"/>
      <c r="BN45" s="99"/>
      <c r="BO45" s="54" t="s">
        <v>293</v>
      </c>
      <c r="BP45" s="69" t="s">
        <v>547</v>
      </c>
      <c r="BQ45" s="56" t="s">
        <v>548</v>
      </c>
      <c r="BR45" s="57" t="s">
        <v>549</v>
      </c>
      <c r="BS45" s="54"/>
      <c r="BT45" s="56"/>
      <c r="BU45" s="56"/>
      <c r="BV45" s="57"/>
      <c r="BW45" s="60"/>
      <c r="BX45" s="187"/>
      <c r="BY45" s="56"/>
      <c r="BZ45" s="56"/>
      <c r="CA45" s="56"/>
      <c r="CB45" s="72"/>
      <c r="CC45" s="72"/>
      <c r="CD45" s="72"/>
      <c r="CE45" s="60" t="s">
        <v>440</v>
      </c>
      <c r="CF45" s="72" t="s">
        <v>441</v>
      </c>
      <c r="CG45" s="56" t="s">
        <v>271</v>
      </c>
      <c r="CH45" s="57" t="s">
        <v>272</v>
      </c>
      <c r="CI45" s="52" t="s">
        <v>146</v>
      </c>
      <c r="CJ45" s="52" t="s">
        <v>142</v>
      </c>
      <c r="CK45" s="52" t="s">
        <v>142</v>
      </c>
      <c r="CL45" s="52" t="s">
        <v>142</v>
      </c>
      <c r="CM45" s="52" t="s">
        <v>142</v>
      </c>
      <c r="CN45" s="52" t="s">
        <v>142</v>
      </c>
      <c r="CO45" s="52" t="s">
        <v>142</v>
      </c>
      <c r="CP45" s="52" t="s">
        <v>142</v>
      </c>
      <c r="CQ45" s="52" t="s">
        <v>146</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N45" s="790"/>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45</v>
      </c>
      <c r="B46" s="49">
        <v>202609</v>
      </c>
      <c r="C46" s="50" t="s">
        <v>560</v>
      </c>
      <c r="D46" s="50" t="s">
        <v>133</v>
      </c>
      <c r="E46" s="51">
        <v>5910</v>
      </c>
      <c r="F46" s="461" t="s">
        <v>134</v>
      </c>
      <c r="G46" s="462" t="s">
        <v>427</v>
      </c>
      <c r="H46" s="767" t="s">
        <v>428</v>
      </c>
      <c r="I46" s="635" t="s">
        <v>429</v>
      </c>
      <c r="J46" s="763"/>
      <c r="K46" s="764" t="s">
        <v>561</v>
      </c>
      <c r="L46" s="462" t="s">
        <v>181</v>
      </c>
      <c r="M46" s="72" t="s">
        <v>562</v>
      </c>
      <c r="N46" s="70" t="s">
        <v>563</v>
      </c>
      <c r="O46" s="281" t="s">
        <v>142</v>
      </c>
      <c r="P46" s="282" t="s">
        <v>142</v>
      </c>
      <c r="Q46" s="60" t="s">
        <v>434</v>
      </c>
      <c r="R46" s="194" t="str">
        <f>VLOOKUP(Sheet_1_Table_1_134[[#This Row],[Learning Domain]],[1]List!$A$7:$B$12,2,0)</f>
        <v>IED</v>
      </c>
      <c r="S46" s="461">
        <v>0</v>
      </c>
      <c r="T46" s="634">
        <v>0</v>
      </c>
      <c r="U46" s="634">
        <v>0</v>
      </c>
      <c r="V46" s="634">
        <v>0</v>
      </c>
      <c r="W46" s="634">
        <v>0</v>
      </c>
      <c r="X46" s="634">
        <v>0</v>
      </c>
      <c r="Y46" s="634">
        <v>0</v>
      </c>
      <c r="Z46" s="634">
        <v>0</v>
      </c>
      <c r="AA46" s="634">
        <v>100</v>
      </c>
      <c r="AB46" s="53">
        <f>SUM(Sheet_1_Table_1_134[[#This Row],[Leadership LS]:[Career Development  CR]])</f>
        <v>100</v>
      </c>
      <c r="AC46" s="97" t="s">
        <v>199</v>
      </c>
      <c r="AD46" s="174" t="s">
        <v>386</v>
      </c>
      <c r="AE46" s="55" t="s">
        <v>146</v>
      </c>
      <c r="AF46" s="55" t="s">
        <v>142</v>
      </c>
      <c r="AG46" s="55" t="s">
        <v>142</v>
      </c>
      <c r="AH46" s="55">
        <v>1</v>
      </c>
      <c r="AI46" s="55">
        <v>60</v>
      </c>
      <c r="AJ46" s="62">
        <f>Sheet_1_Table_1_134[[#This Row],[ILP Units Per Session]]*Sheet_1_Table_1_134[[#This Row],[Quota]]</f>
        <v>60</v>
      </c>
      <c r="AK46" s="54" t="s">
        <v>701</v>
      </c>
      <c r="AL46" s="64" t="e">
        <f>WEEKDAY(Sheet_1_Table_1_134[[#This Row],[Lesson 1 
Date 
(DD-MMM-YYYY)]])</f>
        <v>#VALUE!</v>
      </c>
      <c r="AM46" s="65"/>
      <c r="AN46" s="66"/>
      <c r="AO46" s="67"/>
      <c r="AP46" s="68"/>
      <c r="AQ46" s="64">
        <f>WEEKDAY(Sheet_1_Table_1_134[[#This Row],[Lesson 2
Date 
(DD-MMM-YYYY)]])</f>
        <v>7</v>
      </c>
      <c r="AR46" s="65"/>
      <c r="AS46" s="66"/>
      <c r="AT46" s="126"/>
      <c r="AU46" s="63"/>
      <c r="AV46" s="64">
        <f>WEEKDAY(Sheet_1_Table_1_134[[#This Row],[Lesson 3
Date 
(DD-MMM-YYYY)]])</f>
        <v>7</v>
      </c>
      <c r="AW46" s="65"/>
      <c r="AX46" s="66"/>
      <c r="AY46" s="126"/>
      <c r="AZ46" s="98"/>
      <c r="BA46" s="64">
        <f>WEEKDAY(Sheet_1_Table_1_134[[#This Row],[Lesson 4
Date 
(DD-MMM-YYYY)]])</f>
        <v>7</v>
      </c>
      <c r="BB46" s="65"/>
      <c r="BC46" s="66"/>
      <c r="BD46" s="126"/>
      <c r="BE46" s="63"/>
      <c r="BF46" s="64">
        <f>WEEKDAY(Sheet_1_Table_1_134[[#This Row],[Lesson 5
Date 
(DD-MMM-YYYY)]])</f>
        <v>7</v>
      </c>
      <c r="BG46" s="65"/>
      <c r="BH46" s="66"/>
      <c r="BI46" s="126"/>
      <c r="BJ46" s="98"/>
      <c r="BK46" s="64">
        <f>WEEKDAY(Sheet_1_Table_1_134[[#This Row],[Lesson 6
Date 
(DD-MMM-YYYY)]])</f>
        <v>7</v>
      </c>
      <c r="BL46" s="65"/>
      <c r="BM46" s="66"/>
      <c r="BN46" s="99"/>
      <c r="BO46" s="54" t="s">
        <v>293</v>
      </c>
      <c r="BP46" s="69" t="s">
        <v>547</v>
      </c>
      <c r="BQ46" s="56" t="s">
        <v>548</v>
      </c>
      <c r="BR46" s="57" t="s">
        <v>549</v>
      </c>
      <c r="BS46" s="54"/>
      <c r="BT46" s="56"/>
      <c r="BU46" s="56"/>
      <c r="BV46" s="57"/>
      <c r="BW46" s="60"/>
      <c r="BX46" s="187"/>
      <c r="BY46" s="56"/>
      <c r="BZ46" s="56"/>
      <c r="CA46" s="56"/>
      <c r="CB46" s="72"/>
      <c r="CC46" s="72"/>
      <c r="CD46" s="72"/>
      <c r="CE46" s="60" t="s">
        <v>440</v>
      </c>
      <c r="CF46" s="72" t="s">
        <v>441</v>
      </c>
      <c r="CG46" s="56" t="s">
        <v>271</v>
      </c>
      <c r="CH46" s="57" t="s">
        <v>272</v>
      </c>
      <c r="CI46" s="52" t="s">
        <v>146</v>
      </c>
      <c r="CJ46" s="52" t="s">
        <v>142</v>
      </c>
      <c r="CK46" s="52" t="s">
        <v>142</v>
      </c>
      <c r="CL46" s="52" t="s">
        <v>142</v>
      </c>
      <c r="CM46" s="52" t="s">
        <v>142</v>
      </c>
      <c r="CN46" s="52" t="s">
        <v>142</v>
      </c>
      <c r="CO46" s="52" t="s">
        <v>142</v>
      </c>
      <c r="CP46" s="52" t="s">
        <v>142</v>
      </c>
      <c r="CQ46" s="52" t="s">
        <v>146</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N46" s="790"/>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135">
      <c r="A47" s="48">
        <v>46</v>
      </c>
      <c r="B47" s="49">
        <v>202609</v>
      </c>
      <c r="C47" s="50" t="s">
        <v>565</v>
      </c>
      <c r="D47" s="50" t="s">
        <v>133</v>
      </c>
      <c r="E47" s="51">
        <v>5911</v>
      </c>
      <c r="F47" s="461" t="s">
        <v>134</v>
      </c>
      <c r="G47" s="462" t="s">
        <v>427</v>
      </c>
      <c r="H47" s="767" t="s">
        <v>428</v>
      </c>
      <c r="I47" s="635" t="s">
        <v>429</v>
      </c>
      <c r="J47" s="763"/>
      <c r="K47" s="764" t="s">
        <v>566</v>
      </c>
      <c r="L47" s="462" t="s">
        <v>181</v>
      </c>
      <c r="M47" s="72" t="s">
        <v>567</v>
      </c>
      <c r="N47" s="70" t="s">
        <v>568</v>
      </c>
      <c r="O47" s="281" t="s">
        <v>142</v>
      </c>
      <c r="P47" s="282" t="s">
        <v>142</v>
      </c>
      <c r="Q47" s="60" t="s">
        <v>434</v>
      </c>
      <c r="R47" s="200" t="str">
        <f>VLOOKUP(Sheet_1_Table_1_134[[#This Row],[Learning Domain]],[1]List!$A$7:$B$12,2,0)</f>
        <v>IED</v>
      </c>
      <c r="S47" s="461">
        <v>0</v>
      </c>
      <c r="T47" s="634">
        <v>0</v>
      </c>
      <c r="U47" s="634">
        <v>0</v>
      </c>
      <c r="V47" s="634">
        <v>0</v>
      </c>
      <c r="W47" s="634">
        <v>0</v>
      </c>
      <c r="X47" s="634">
        <v>0</v>
      </c>
      <c r="Y47" s="634">
        <v>0</v>
      </c>
      <c r="Z47" s="634">
        <v>0</v>
      </c>
      <c r="AA47" s="634">
        <v>100</v>
      </c>
      <c r="AB47" s="53">
        <f>SUM(Sheet_1_Table_1_134[[#This Row],[Leadership LS]:[Career Development  CR]])</f>
        <v>100</v>
      </c>
      <c r="AC47" s="97" t="s">
        <v>199</v>
      </c>
      <c r="AD47" s="174" t="s">
        <v>386</v>
      </c>
      <c r="AE47" s="55" t="s">
        <v>146</v>
      </c>
      <c r="AF47" s="55" t="s">
        <v>142</v>
      </c>
      <c r="AG47" s="55" t="s">
        <v>142</v>
      </c>
      <c r="AH47" s="55">
        <v>1</v>
      </c>
      <c r="AI47" s="55">
        <v>60</v>
      </c>
      <c r="AJ47" s="62">
        <f>Sheet_1_Table_1_134[[#This Row],[ILP Units Per Session]]*Sheet_1_Table_1_134[[#This Row],[Quota]]</f>
        <v>60</v>
      </c>
      <c r="AK47" s="54" t="s">
        <v>701</v>
      </c>
      <c r="AL47" s="64" t="e">
        <f>WEEKDAY(Sheet_1_Table_1_134[[#This Row],[Lesson 1 
Date 
(DD-MMM-YYYY)]])</f>
        <v>#VALUE!</v>
      </c>
      <c r="AM47" s="65"/>
      <c r="AN47" s="66"/>
      <c r="AO47" s="67"/>
      <c r="AP47" s="68"/>
      <c r="AQ47" s="64">
        <f>WEEKDAY(Sheet_1_Table_1_134[[#This Row],[Lesson 2
Date 
(DD-MMM-YYYY)]])</f>
        <v>7</v>
      </c>
      <c r="AR47" s="65"/>
      <c r="AS47" s="66"/>
      <c r="AT47" s="126"/>
      <c r="AU47" s="63"/>
      <c r="AV47" s="64">
        <f>WEEKDAY(Sheet_1_Table_1_134[[#This Row],[Lesson 3
Date 
(DD-MMM-YYYY)]])</f>
        <v>7</v>
      </c>
      <c r="AW47" s="65"/>
      <c r="AX47" s="66"/>
      <c r="AY47" s="126"/>
      <c r="AZ47" s="98"/>
      <c r="BA47" s="64">
        <f>WEEKDAY(Sheet_1_Table_1_134[[#This Row],[Lesson 4
Date 
(DD-MMM-YYYY)]])</f>
        <v>7</v>
      </c>
      <c r="BB47" s="65"/>
      <c r="BC47" s="66"/>
      <c r="BD47" s="126"/>
      <c r="BE47" s="63"/>
      <c r="BF47" s="64">
        <f>WEEKDAY(Sheet_1_Table_1_134[[#This Row],[Lesson 5
Date 
(DD-MMM-YYYY)]])</f>
        <v>7</v>
      </c>
      <c r="BG47" s="65"/>
      <c r="BH47" s="66"/>
      <c r="BI47" s="126"/>
      <c r="BJ47" s="98"/>
      <c r="BK47" s="64">
        <f>WEEKDAY(Sheet_1_Table_1_134[[#This Row],[Lesson 6
Date 
(DD-MMM-YYYY)]])</f>
        <v>7</v>
      </c>
      <c r="BL47" s="65"/>
      <c r="BM47" s="66"/>
      <c r="BN47" s="99"/>
      <c r="BO47" s="54" t="s">
        <v>293</v>
      </c>
      <c r="BP47" s="69" t="s">
        <v>547</v>
      </c>
      <c r="BQ47" s="56" t="s">
        <v>548</v>
      </c>
      <c r="BR47" s="57" t="s">
        <v>549</v>
      </c>
      <c r="BS47" s="54"/>
      <c r="BT47" s="56"/>
      <c r="BU47" s="56"/>
      <c r="BV47" s="57"/>
      <c r="BW47" s="60"/>
      <c r="BX47" s="187"/>
      <c r="BY47" s="56"/>
      <c r="BZ47" s="56"/>
      <c r="CA47" s="56"/>
      <c r="CB47" s="72"/>
      <c r="CC47" s="72"/>
      <c r="CD47" s="72"/>
      <c r="CE47" s="60" t="s">
        <v>440</v>
      </c>
      <c r="CF47" s="72" t="s">
        <v>441</v>
      </c>
      <c r="CG47" s="56" t="s">
        <v>271</v>
      </c>
      <c r="CH47" s="57" t="s">
        <v>272</v>
      </c>
      <c r="CI47" s="52" t="s">
        <v>146</v>
      </c>
      <c r="CJ47" s="52" t="s">
        <v>142</v>
      </c>
      <c r="CK47" s="52" t="s">
        <v>142</v>
      </c>
      <c r="CL47" s="52" t="s">
        <v>142</v>
      </c>
      <c r="CM47" s="52" t="s">
        <v>142</v>
      </c>
      <c r="CN47" s="52" t="s">
        <v>142</v>
      </c>
      <c r="CO47" s="52" t="s">
        <v>142</v>
      </c>
      <c r="CP47" s="52" t="s">
        <v>142</v>
      </c>
      <c r="CQ47" s="52" t="s">
        <v>146</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N47" s="790"/>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165">
      <c r="A48" s="286">
        <v>47</v>
      </c>
      <c r="B48" s="49">
        <v>202609</v>
      </c>
      <c r="C48" s="50" t="s">
        <v>612</v>
      </c>
      <c r="D48" s="50" t="s">
        <v>133</v>
      </c>
      <c r="E48" s="51">
        <v>5912</v>
      </c>
      <c r="F48" s="461" t="s">
        <v>134</v>
      </c>
      <c r="G48" s="462" t="s">
        <v>427</v>
      </c>
      <c r="H48" s="461" t="s">
        <v>428</v>
      </c>
      <c r="I48" s="635" t="s">
        <v>429</v>
      </c>
      <c r="J48" s="763"/>
      <c r="K48" s="764" t="s">
        <v>613</v>
      </c>
      <c r="L48" s="462" t="s">
        <v>181</v>
      </c>
      <c r="M48" s="72" t="s">
        <v>614</v>
      </c>
      <c r="N48" s="70" t="s">
        <v>615</v>
      </c>
      <c r="O48" s="281" t="s">
        <v>142</v>
      </c>
      <c r="P48" s="282" t="s">
        <v>142</v>
      </c>
      <c r="Q48" s="60" t="s">
        <v>434</v>
      </c>
      <c r="R48" s="194" t="str">
        <f>VLOOKUP(Sheet_1_Table_1_134[[#This Row],[Learning Domain]],[1]List!$A$7:$B$12,2,0)</f>
        <v>IED</v>
      </c>
      <c r="S48" s="461">
        <v>0</v>
      </c>
      <c r="T48" s="634">
        <v>0</v>
      </c>
      <c r="U48" s="634">
        <v>0</v>
      </c>
      <c r="V48" s="634">
        <v>0</v>
      </c>
      <c r="W48" s="634">
        <v>0</v>
      </c>
      <c r="X48" s="634">
        <v>0</v>
      </c>
      <c r="Y48" s="634">
        <v>0</v>
      </c>
      <c r="Z48" s="634">
        <v>0</v>
      </c>
      <c r="AA48" s="634">
        <v>100</v>
      </c>
      <c r="AB48" s="53">
        <f>SUM(Sheet_1_Table_1_134[[#This Row],[Leadership LS]:[Career Development  CR]])</f>
        <v>100</v>
      </c>
      <c r="AC48" s="97" t="s">
        <v>199</v>
      </c>
      <c r="AD48" s="174" t="s">
        <v>386</v>
      </c>
      <c r="AE48" s="55" t="s">
        <v>146</v>
      </c>
      <c r="AF48" s="55" t="s">
        <v>142</v>
      </c>
      <c r="AG48" s="55" t="s">
        <v>142</v>
      </c>
      <c r="AH48" s="55">
        <v>1</v>
      </c>
      <c r="AI48" s="55">
        <v>70</v>
      </c>
      <c r="AJ48" s="62">
        <f>Sheet_1_Table_1_134[[#This Row],[ILP Units Per Session]]*Sheet_1_Table_1_134[[#This Row],[Quota]]</f>
        <v>70</v>
      </c>
      <c r="AK48" s="208" t="s">
        <v>701</v>
      </c>
      <c r="AL48" s="64" t="e">
        <f>WEEKDAY(Sheet_1_Table_1_134[[#This Row],[Lesson 1 
Date 
(DD-MMM-YYYY)]])</f>
        <v>#VALUE!</v>
      </c>
      <c r="AM48" s="65"/>
      <c r="AN48" s="66"/>
      <c r="AO48" s="67"/>
      <c r="AP48" s="68"/>
      <c r="AQ48" s="64">
        <f>WEEKDAY(Sheet_1_Table_1_134[[#This Row],[Lesson 2
Date 
(DD-MMM-YYYY)]])</f>
        <v>7</v>
      </c>
      <c r="AR48" s="65"/>
      <c r="AS48" s="66"/>
      <c r="AT48" s="126"/>
      <c r="AU48" s="63"/>
      <c r="AV48" s="64">
        <f>WEEKDAY(Sheet_1_Table_1_134[[#This Row],[Lesson 3
Date 
(DD-MMM-YYYY)]])</f>
        <v>7</v>
      </c>
      <c r="AW48" s="65"/>
      <c r="AX48" s="66"/>
      <c r="AY48" s="126"/>
      <c r="AZ48" s="98"/>
      <c r="BA48" s="64">
        <f>WEEKDAY(Sheet_1_Table_1_134[[#This Row],[Lesson 4
Date 
(DD-MMM-YYYY)]])</f>
        <v>7</v>
      </c>
      <c r="BB48" s="65"/>
      <c r="BC48" s="66"/>
      <c r="BD48" s="126"/>
      <c r="BE48" s="63"/>
      <c r="BF48" s="64">
        <f>WEEKDAY(Sheet_1_Table_1_134[[#This Row],[Lesson 5
Date 
(DD-MMM-YYYY)]])</f>
        <v>7</v>
      </c>
      <c r="BG48" s="65"/>
      <c r="BH48" s="66"/>
      <c r="BI48" s="126"/>
      <c r="BJ48" s="98"/>
      <c r="BK48" s="64">
        <f>WEEKDAY(Sheet_1_Table_1_134[[#This Row],[Lesson 6
Date 
(DD-MMM-YYYY)]])</f>
        <v>7</v>
      </c>
      <c r="BL48" s="65"/>
      <c r="BM48" s="66"/>
      <c r="BN48" s="99"/>
      <c r="BO48" s="54" t="s">
        <v>293</v>
      </c>
      <c r="BP48" s="69" t="s">
        <v>547</v>
      </c>
      <c r="BQ48" s="56" t="s">
        <v>548</v>
      </c>
      <c r="BR48" s="57" t="s">
        <v>549</v>
      </c>
      <c r="BS48" s="54"/>
      <c r="BT48" s="56"/>
      <c r="BU48" s="56"/>
      <c r="BV48" s="57"/>
      <c r="BW48" s="60"/>
      <c r="BX48" s="187"/>
      <c r="BY48" s="56"/>
      <c r="BZ48" s="56"/>
      <c r="CA48" s="56"/>
      <c r="CB48" s="72"/>
      <c r="CC48" s="72"/>
      <c r="CD48" s="72"/>
      <c r="CE48" s="60" t="s">
        <v>440</v>
      </c>
      <c r="CF48" s="72" t="s">
        <v>441</v>
      </c>
      <c r="CG48" s="56" t="s">
        <v>271</v>
      </c>
      <c r="CH48" s="57" t="s">
        <v>272</v>
      </c>
      <c r="CI48" s="52" t="s">
        <v>146</v>
      </c>
      <c r="CJ48" s="52" t="s">
        <v>142</v>
      </c>
      <c r="CK48" s="52" t="s">
        <v>142</v>
      </c>
      <c r="CL48" s="52" t="s">
        <v>142</v>
      </c>
      <c r="CM48" s="52" t="s">
        <v>142</v>
      </c>
      <c r="CN48" s="52" t="s">
        <v>142</v>
      </c>
      <c r="CO48" s="52" t="s">
        <v>142</v>
      </c>
      <c r="CP48" s="52" t="s">
        <v>142</v>
      </c>
      <c r="CQ48" s="52" t="s">
        <v>146</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N48" s="790"/>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195">
      <c r="A49" s="48">
        <v>48</v>
      </c>
      <c r="B49" s="49">
        <v>202609</v>
      </c>
      <c r="C49" s="50" t="s">
        <v>616</v>
      </c>
      <c r="D49" s="50" t="s">
        <v>133</v>
      </c>
      <c r="E49" s="51">
        <v>5913</v>
      </c>
      <c r="F49" s="461" t="s">
        <v>134</v>
      </c>
      <c r="G49" s="462" t="s">
        <v>427</v>
      </c>
      <c r="H49" s="461" t="s">
        <v>428</v>
      </c>
      <c r="I49" s="647" t="s">
        <v>429</v>
      </c>
      <c r="J49" s="763"/>
      <c r="K49" s="764" t="s">
        <v>617</v>
      </c>
      <c r="L49" s="462" t="s">
        <v>181</v>
      </c>
      <c r="M49" s="72" t="s">
        <v>618</v>
      </c>
      <c r="N49" s="70" t="s">
        <v>619</v>
      </c>
      <c r="O49" s="281" t="s">
        <v>142</v>
      </c>
      <c r="P49" s="282" t="s">
        <v>142</v>
      </c>
      <c r="Q49" s="60" t="s">
        <v>434</v>
      </c>
      <c r="R49" s="200" t="str">
        <f>VLOOKUP(Sheet_1_Table_1_134[[#This Row],[Learning Domain]],[1]List!$A$7:$B$12,2,0)</f>
        <v>IED</v>
      </c>
      <c r="S49" s="461">
        <v>0</v>
      </c>
      <c r="T49" s="634">
        <v>0</v>
      </c>
      <c r="U49" s="634">
        <v>0</v>
      </c>
      <c r="V49" s="634">
        <v>0</v>
      </c>
      <c r="W49" s="634">
        <v>0</v>
      </c>
      <c r="X49" s="634">
        <v>0</v>
      </c>
      <c r="Y49" s="634">
        <v>0</v>
      </c>
      <c r="Z49" s="634">
        <v>0</v>
      </c>
      <c r="AA49" s="634">
        <v>100</v>
      </c>
      <c r="AB49" s="53">
        <f>SUM(Sheet_1_Table_1_134[[#This Row],[Leadership LS]:[Career Development  CR]])</f>
        <v>100</v>
      </c>
      <c r="AC49" s="97" t="s">
        <v>199</v>
      </c>
      <c r="AD49" s="174" t="s">
        <v>386</v>
      </c>
      <c r="AE49" s="55" t="s">
        <v>146</v>
      </c>
      <c r="AF49" s="55" t="s">
        <v>142</v>
      </c>
      <c r="AG49" s="55" t="s">
        <v>142</v>
      </c>
      <c r="AH49" s="55">
        <v>1</v>
      </c>
      <c r="AI49" s="55">
        <v>70</v>
      </c>
      <c r="AJ49" s="62">
        <f>Sheet_1_Table_1_134[[#This Row],[ILP Units Per Session]]*Sheet_1_Table_1_134[[#This Row],[Quota]]</f>
        <v>70</v>
      </c>
      <c r="AK49" s="208" t="s">
        <v>701</v>
      </c>
      <c r="AL49" s="64" t="e">
        <f>WEEKDAY(Sheet_1_Table_1_134[[#This Row],[Lesson 1 
Date 
(DD-MMM-YYYY)]])</f>
        <v>#VALUE!</v>
      </c>
      <c r="AM49" s="65"/>
      <c r="AN49" s="66"/>
      <c r="AO49" s="67"/>
      <c r="AP49" s="68"/>
      <c r="AQ49" s="64">
        <f>WEEKDAY(Sheet_1_Table_1_134[[#This Row],[Lesson 2
Date 
(DD-MMM-YYYY)]])</f>
        <v>7</v>
      </c>
      <c r="AR49" s="65"/>
      <c r="AS49" s="66"/>
      <c r="AT49" s="126"/>
      <c r="AU49" s="63"/>
      <c r="AV49" s="64">
        <f>WEEKDAY(Sheet_1_Table_1_134[[#This Row],[Lesson 3
Date 
(DD-MMM-YYYY)]])</f>
        <v>7</v>
      </c>
      <c r="AW49" s="65"/>
      <c r="AX49" s="66"/>
      <c r="AY49" s="126"/>
      <c r="AZ49" s="98"/>
      <c r="BA49" s="64">
        <f>WEEKDAY(Sheet_1_Table_1_134[[#This Row],[Lesson 4
Date 
(DD-MMM-YYYY)]])</f>
        <v>7</v>
      </c>
      <c r="BB49" s="65"/>
      <c r="BC49" s="66"/>
      <c r="BD49" s="126"/>
      <c r="BE49" s="63"/>
      <c r="BF49" s="64">
        <f>WEEKDAY(Sheet_1_Table_1_134[[#This Row],[Lesson 5
Date 
(DD-MMM-YYYY)]])</f>
        <v>7</v>
      </c>
      <c r="BG49" s="65"/>
      <c r="BH49" s="66"/>
      <c r="BI49" s="126"/>
      <c r="BJ49" s="98"/>
      <c r="BK49" s="64">
        <f>WEEKDAY(Sheet_1_Table_1_134[[#This Row],[Lesson 6
Date 
(DD-MMM-YYYY)]])</f>
        <v>7</v>
      </c>
      <c r="BL49" s="65"/>
      <c r="BM49" s="66"/>
      <c r="BN49" s="99"/>
      <c r="BO49" s="54" t="s">
        <v>293</v>
      </c>
      <c r="BP49" s="69" t="s">
        <v>547</v>
      </c>
      <c r="BQ49" s="56" t="s">
        <v>548</v>
      </c>
      <c r="BR49" s="57" t="s">
        <v>549</v>
      </c>
      <c r="BS49" s="54"/>
      <c r="BT49" s="56"/>
      <c r="BU49" s="56"/>
      <c r="BV49" s="70"/>
      <c r="BW49" s="60"/>
      <c r="BX49" s="187"/>
      <c r="BY49" s="56"/>
      <c r="BZ49" s="56"/>
      <c r="CA49" s="56"/>
      <c r="CB49" s="72"/>
      <c r="CC49" s="72"/>
      <c r="CD49" s="72"/>
      <c r="CE49" s="60" t="s">
        <v>440</v>
      </c>
      <c r="CF49" s="72" t="s">
        <v>441</v>
      </c>
      <c r="CG49" s="56" t="s">
        <v>271</v>
      </c>
      <c r="CH49" s="57" t="s">
        <v>272</v>
      </c>
      <c r="CI49" s="52" t="s">
        <v>146</v>
      </c>
      <c r="CJ49" s="52" t="s">
        <v>142</v>
      </c>
      <c r="CK49" s="52" t="s">
        <v>142</v>
      </c>
      <c r="CL49" s="52" t="s">
        <v>142</v>
      </c>
      <c r="CM49" s="52" t="s">
        <v>142</v>
      </c>
      <c r="CN49" s="52" t="s">
        <v>142</v>
      </c>
      <c r="CO49" s="52" t="s">
        <v>142</v>
      </c>
      <c r="CP49" s="52" t="s">
        <v>142</v>
      </c>
      <c r="CQ49" s="52" t="s">
        <v>146</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N49" s="790"/>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220.5">
      <c r="A50" s="48">
        <v>49</v>
      </c>
      <c r="B50" s="49">
        <v>202609</v>
      </c>
      <c r="C50" s="50" t="s">
        <v>702</v>
      </c>
      <c r="D50" s="50" t="s">
        <v>133</v>
      </c>
      <c r="E50" s="51">
        <v>5914</v>
      </c>
      <c r="F50" s="461" t="s">
        <v>134</v>
      </c>
      <c r="G50" s="462" t="s">
        <v>427</v>
      </c>
      <c r="H50" s="461" t="s">
        <v>428</v>
      </c>
      <c r="I50" s="635" t="s">
        <v>429</v>
      </c>
      <c r="J50" s="766"/>
      <c r="K50" s="764" t="s">
        <v>703</v>
      </c>
      <c r="L50" s="53"/>
      <c r="M50" s="652" t="s">
        <v>704</v>
      </c>
      <c r="N50" s="647" t="s">
        <v>705</v>
      </c>
      <c r="O50" s="281" t="s">
        <v>142</v>
      </c>
      <c r="P50" s="282" t="s">
        <v>142</v>
      </c>
      <c r="Q50" s="60" t="s">
        <v>434</v>
      </c>
      <c r="R50" s="194" t="str">
        <f>VLOOKUP(Sheet_1_Table_1_134[[#This Row],[Learning Domain]],[1]List!$A$7:$B$12,2,0)</f>
        <v>IED</v>
      </c>
      <c r="S50" s="461">
        <v>0</v>
      </c>
      <c r="T50" s="634">
        <v>0</v>
      </c>
      <c r="U50" s="634">
        <v>0</v>
      </c>
      <c r="V50" s="634">
        <v>0</v>
      </c>
      <c r="W50" s="634">
        <v>0</v>
      </c>
      <c r="X50" s="634">
        <v>0</v>
      </c>
      <c r="Y50" s="634">
        <v>0</v>
      </c>
      <c r="Z50" s="634">
        <v>0</v>
      </c>
      <c r="AA50" s="634">
        <v>100</v>
      </c>
      <c r="AB50" s="53">
        <f>SUM(Sheet_1_Table_1_134[[#This Row],[Leadership LS]:[Career Development  CR]])</f>
        <v>100</v>
      </c>
      <c r="AC50" s="97" t="s">
        <v>199</v>
      </c>
      <c r="AD50" s="174" t="s">
        <v>386</v>
      </c>
      <c r="AE50" s="55" t="s">
        <v>146</v>
      </c>
      <c r="AF50" s="55" t="s">
        <v>142</v>
      </c>
      <c r="AG50" s="55" t="s">
        <v>142</v>
      </c>
      <c r="AH50" s="201">
        <v>1</v>
      </c>
      <c r="AI50" s="55">
        <v>50</v>
      </c>
      <c r="AJ50" s="62">
        <f>Sheet_1_Table_1_134[[#This Row],[ILP Units Per Session]]*Sheet_1_Table_1_134[[#This Row],[Quota]]</f>
        <v>50</v>
      </c>
      <c r="AK50" s="54" t="s">
        <v>701</v>
      </c>
      <c r="AL50" s="64" t="e">
        <f>WEEKDAY(Sheet_1_Table_1_134[[#This Row],[Lesson 1 
Date 
(DD-MMM-YYYY)]])</f>
        <v>#VALUE!</v>
      </c>
      <c r="AM50" s="204"/>
      <c r="AN50" s="205"/>
      <c r="AO50" s="67"/>
      <c r="AP50" s="68"/>
      <c r="AQ50" s="64">
        <f>WEEKDAY(Sheet_1_Table_1_134[[#This Row],[Lesson 2
Date 
(DD-MMM-YYYY)]])</f>
        <v>7</v>
      </c>
      <c r="AR50" s="65"/>
      <c r="AS50" s="66"/>
      <c r="AT50" s="126"/>
      <c r="AU50" s="63"/>
      <c r="AV50" s="64">
        <f>WEEKDAY(Sheet_1_Table_1_134[[#This Row],[Lesson 3
Date 
(DD-MMM-YYYY)]])</f>
        <v>7</v>
      </c>
      <c r="AW50" s="65"/>
      <c r="AX50" s="66"/>
      <c r="AY50" s="126"/>
      <c r="AZ50" s="98"/>
      <c r="BA50" s="64">
        <f>WEEKDAY(Sheet_1_Table_1_134[[#This Row],[Lesson 4
Date 
(DD-MMM-YYYY)]])</f>
        <v>7</v>
      </c>
      <c r="BB50" s="65"/>
      <c r="BC50" s="66"/>
      <c r="BD50" s="126"/>
      <c r="BE50" s="63"/>
      <c r="BF50" s="64">
        <f>WEEKDAY(Sheet_1_Table_1_134[[#This Row],[Lesson 5
Date 
(DD-MMM-YYYY)]])</f>
        <v>7</v>
      </c>
      <c r="BG50" s="65"/>
      <c r="BH50" s="66"/>
      <c r="BI50" s="126"/>
      <c r="BJ50" s="98"/>
      <c r="BK50" s="64">
        <f>WEEKDAY(Sheet_1_Table_1_134[[#This Row],[Lesson 6
Date 
(DD-MMM-YYYY)]])</f>
        <v>7</v>
      </c>
      <c r="BL50" s="65"/>
      <c r="BM50" s="66"/>
      <c r="BN50" s="99"/>
      <c r="BO50" s="54"/>
      <c r="BP50" s="69"/>
      <c r="BQ50" s="56"/>
      <c r="BR50" s="57" t="s">
        <v>706</v>
      </c>
      <c r="BS50" s="54"/>
      <c r="BT50" s="56"/>
      <c r="BU50" s="56"/>
      <c r="BV50" s="57"/>
      <c r="BW50" s="60"/>
      <c r="BX50" s="187"/>
      <c r="BY50" s="56"/>
      <c r="BZ50" s="56"/>
      <c r="CA50" s="56"/>
      <c r="CB50" s="72"/>
      <c r="CC50" s="72"/>
      <c r="CD50" s="72"/>
      <c r="CE50" s="60" t="s">
        <v>440</v>
      </c>
      <c r="CF50" s="72" t="s">
        <v>441</v>
      </c>
      <c r="CG50" s="56" t="s">
        <v>271</v>
      </c>
      <c r="CH50" s="57" t="s">
        <v>272</v>
      </c>
      <c r="CI50" s="52" t="s">
        <v>146</v>
      </c>
      <c r="CJ50" s="52" t="s">
        <v>142</v>
      </c>
      <c r="CK50" s="52" t="s">
        <v>142</v>
      </c>
      <c r="CL50" s="52" t="s">
        <v>142</v>
      </c>
      <c r="CM50" s="52" t="s">
        <v>142</v>
      </c>
      <c r="CN50" s="52" t="s">
        <v>142</v>
      </c>
      <c r="CO50" s="52" t="s">
        <v>142</v>
      </c>
      <c r="CP50" s="52" t="s">
        <v>142</v>
      </c>
      <c r="CQ50" s="52" t="s">
        <v>146</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N50" s="790"/>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45">
      <c r="A51" s="741">
        <v>50</v>
      </c>
      <c r="B51" s="225"/>
      <c r="C51" s="226"/>
      <c r="D51" s="226"/>
      <c r="E51" s="227"/>
      <c r="F51" s="228" t="s">
        <v>134</v>
      </c>
      <c r="G51" s="229" t="s">
        <v>427</v>
      </c>
      <c r="H51" s="228" t="s">
        <v>428</v>
      </c>
      <c r="I51" s="287"/>
      <c r="J51" s="231"/>
      <c r="K51" s="232" t="s">
        <v>707</v>
      </c>
      <c r="L51" s="227"/>
      <c r="M51" s="233" t="s">
        <v>708</v>
      </c>
      <c r="N51" s="287" t="s">
        <v>709</v>
      </c>
      <c r="O51" s="234" t="s">
        <v>142</v>
      </c>
      <c r="P51" s="235" t="s">
        <v>146</v>
      </c>
      <c r="Q51" s="232" t="s">
        <v>434</v>
      </c>
      <c r="R51" s="288" t="str">
        <f>VLOOKUP(Sheet_1_Table_1_134[[#This Row],[Learning Domain]],[1]List!$A$7:$B$12,2,0)</f>
        <v>IED</v>
      </c>
      <c r="S51" s="236">
        <v>30</v>
      </c>
      <c r="T51" s="237">
        <v>0</v>
      </c>
      <c r="U51" s="237">
        <v>0</v>
      </c>
      <c r="V51" s="237">
        <v>0</v>
      </c>
      <c r="W51" s="237">
        <v>0</v>
      </c>
      <c r="X51" s="237">
        <v>0</v>
      </c>
      <c r="Y51" s="237">
        <v>0</v>
      </c>
      <c r="Z51" s="237">
        <v>0</v>
      </c>
      <c r="AA51" s="237">
        <v>70</v>
      </c>
      <c r="AB51" s="227">
        <f>SUM(Sheet_1_Table_1_134[[#This Row],[Leadership LS]:[Career Development  CR]])</f>
        <v>100</v>
      </c>
      <c r="AC51" s="238" t="s">
        <v>199</v>
      </c>
      <c r="AD51" s="237" t="s">
        <v>190</v>
      </c>
      <c r="AE51" s="237" t="s">
        <v>142</v>
      </c>
      <c r="AF51" s="237" t="s">
        <v>146</v>
      </c>
      <c r="AG51" s="237" t="s">
        <v>142</v>
      </c>
      <c r="AH51" s="237">
        <v>1</v>
      </c>
      <c r="AI51" s="237">
        <v>50</v>
      </c>
      <c r="AJ51" s="239">
        <f>Sheet_1_Table_1_134[[#This Row],[ILP Units Per Session]]*Sheet_1_Table_1_134[[#This Row],[Quota]]</f>
        <v>50</v>
      </c>
      <c r="AK51" s="240" t="s">
        <v>710</v>
      </c>
      <c r="AL51" s="241" t="e">
        <f>WEEKDAY(Sheet_1_Table_1_134[[#This Row],[Lesson 1 
Date 
(DD-MMM-YYYY)]])</f>
        <v>#VALUE!</v>
      </c>
      <c r="AM51" s="242">
        <v>0.66666666666666663</v>
      </c>
      <c r="AN51" s="243">
        <v>0.70833333333333337</v>
      </c>
      <c r="AO51" s="244" t="s">
        <v>390</v>
      </c>
      <c r="AP51" s="245"/>
      <c r="AQ51" s="241">
        <f>WEEKDAY(Sheet_1_Table_1_134[[#This Row],[Lesson 2
Date 
(DD-MMM-YYYY)]])</f>
        <v>7</v>
      </c>
      <c r="AR51" s="242"/>
      <c r="AS51" s="243"/>
      <c r="AT51" s="246"/>
      <c r="AU51" s="240"/>
      <c r="AV51" s="241">
        <f>WEEKDAY(Sheet_1_Table_1_134[[#This Row],[Lesson 3
Date 
(DD-MMM-YYYY)]])</f>
        <v>7</v>
      </c>
      <c r="AW51" s="242"/>
      <c r="AX51" s="243"/>
      <c r="AY51" s="246"/>
      <c r="AZ51" s="247"/>
      <c r="BA51" s="241">
        <f>WEEKDAY(Sheet_1_Table_1_134[[#This Row],[Lesson 4
Date 
(DD-MMM-YYYY)]])</f>
        <v>7</v>
      </c>
      <c r="BB51" s="242"/>
      <c r="BC51" s="243"/>
      <c r="BD51" s="246"/>
      <c r="BE51" s="240"/>
      <c r="BF51" s="241">
        <f>WEEKDAY(Sheet_1_Table_1_134[[#This Row],[Lesson 5
Date 
(DD-MMM-YYYY)]])</f>
        <v>7</v>
      </c>
      <c r="BG51" s="242"/>
      <c r="BH51" s="243"/>
      <c r="BI51" s="246"/>
      <c r="BJ51" s="247"/>
      <c r="BK51" s="241">
        <f>WEEKDAY(Sheet_1_Table_1_134[[#This Row],[Lesson 6
Date 
(DD-MMM-YYYY)]])</f>
        <v>7</v>
      </c>
      <c r="BL51" s="242"/>
      <c r="BM51" s="243"/>
      <c r="BN51" s="248"/>
      <c r="BO51" s="249"/>
      <c r="BP51" s="289" t="s">
        <v>698</v>
      </c>
      <c r="BQ51" s="250"/>
      <c r="BR51" s="230"/>
      <c r="BS51" s="249"/>
      <c r="BT51" s="250"/>
      <c r="BU51" s="250"/>
      <c r="BV51" s="230"/>
      <c r="BW51" s="232"/>
      <c r="BX51" s="251"/>
      <c r="BY51" s="250"/>
      <c r="BZ51" s="250"/>
      <c r="CA51" s="250"/>
      <c r="CB51" s="233"/>
      <c r="CC51" s="233"/>
      <c r="CD51" s="233"/>
      <c r="CE51" s="232" t="s">
        <v>440</v>
      </c>
      <c r="CF51" s="233" t="s">
        <v>441</v>
      </c>
      <c r="CG51" s="250" t="s">
        <v>450</v>
      </c>
      <c r="CH51" s="230" t="s">
        <v>451</v>
      </c>
      <c r="CI51" s="236" t="s">
        <v>142</v>
      </c>
      <c r="CJ51" s="236" t="s">
        <v>142</v>
      </c>
      <c r="CK51" s="236" t="s">
        <v>142</v>
      </c>
      <c r="CL51" s="236" t="s">
        <v>142</v>
      </c>
      <c r="CM51" s="236" t="s">
        <v>142</v>
      </c>
      <c r="CN51" s="236" t="s">
        <v>142</v>
      </c>
      <c r="CO51" s="236" t="s">
        <v>142</v>
      </c>
      <c r="CP51" s="236" t="s">
        <v>142</v>
      </c>
      <c r="CQ51" s="236" t="s">
        <v>146</v>
      </c>
      <c r="CR51" s="236" t="s">
        <v>142</v>
      </c>
      <c r="CS51" s="236" t="s">
        <v>142</v>
      </c>
      <c r="CT51" s="236" t="s">
        <v>142</v>
      </c>
      <c r="CU51" s="236" t="s">
        <v>142</v>
      </c>
      <c r="CV51" s="236" t="s">
        <v>142</v>
      </c>
      <c r="CW51" s="236" t="s">
        <v>142</v>
      </c>
      <c r="CX51" s="236" t="s">
        <v>142</v>
      </c>
      <c r="CY51" s="236" t="s">
        <v>142</v>
      </c>
      <c r="CZ51" s="252" t="s">
        <v>142</v>
      </c>
      <c r="DA51" s="249" t="s">
        <v>154</v>
      </c>
      <c r="DB51" s="226" t="s">
        <v>155</v>
      </c>
      <c r="DC51" s="226" t="s">
        <v>156</v>
      </c>
      <c r="DD51" s="226" t="s">
        <v>146</v>
      </c>
      <c r="DE51" s="226" t="s">
        <v>157</v>
      </c>
      <c r="DF51" s="226" t="s">
        <v>146</v>
      </c>
      <c r="DG51" s="253"/>
      <c r="DH51" s="253"/>
      <c r="DI51" s="254"/>
      <c r="DJ51" s="253"/>
      <c r="DK51" s="76" t="s">
        <v>146</v>
      </c>
      <c r="DL51" s="76" t="s">
        <v>146</v>
      </c>
      <c r="DM51" s="76" t="s">
        <v>146</v>
      </c>
      <c r="DN51" s="790"/>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105">
      <c r="A52" s="8">
        <v>50</v>
      </c>
      <c r="B52" s="579">
        <v>202609</v>
      </c>
      <c r="C52" s="577" t="s">
        <v>711</v>
      </c>
      <c r="D52" s="577" t="s">
        <v>133</v>
      </c>
      <c r="E52" s="581">
        <v>5923</v>
      </c>
      <c r="F52" s="576" t="s">
        <v>134</v>
      </c>
      <c r="G52" s="595" t="s">
        <v>712</v>
      </c>
      <c r="H52" s="604" t="s">
        <v>713</v>
      </c>
      <c r="I52" s="623" t="s">
        <v>714</v>
      </c>
      <c r="J52" s="624" t="s">
        <v>715</v>
      </c>
      <c r="K52" s="624" t="s">
        <v>716</v>
      </c>
      <c r="L52" s="595"/>
      <c r="M52" s="560" t="s">
        <v>717</v>
      </c>
      <c r="N52" s="298" t="s">
        <v>718</v>
      </c>
      <c r="O52" s="625" t="s">
        <v>142</v>
      </c>
      <c r="P52" s="575" t="s">
        <v>142</v>
      </c>
      <c r="Q52" s="558" t="s">
        <v>434</v>
      </c>
      <c r="R52" s="626" t="s">
        <v>661</v>
      </c>
      <c r="S52" s="562">
        <v>100</v>
      </c>
      <c r="T52" s="562">
        <v>0</v>
      </c>
      <c r="U52" s="562">
        <v>0</v>
      </c>
      <c r="V52" s="562">
        <v>0</v>
      </c>
      <c r="W52" s="562">
        <v>0</v>
      </c>
      <c r="X52" s="562">
        <v>0</v>
      </c>
      <c r="Y52" s="562">
        <v>0</v>
      </c>
      <c r="Z52" s="562">
        <v>0</v>
      </c>
      <c r="AA52" s="562">
        <v>0</v>
      </c>
      <c r="AB52" s="609">
        <v>100</v>
      </c>
      <c r="AC52" s="295" t="s">
        <v>144</v>
      </c>
      <c r="AD52" s="562" t="s">
        <v>386</v>
      </c>
      <c r="AE52" s="562" t="s">
        <v>142</v>
      </c>
      <c r="AF52" s="562" t="s">
        <v>146</v>
      </c>
      <c r="AG52" s="562" t="s">
        <v>142</v>
      </c>
      <c r="AH52" s="562">
        <v>1.5</v>
      </c>
      <c r="AI52" s="562">
        <v>200</v>
      </c>
      <c r="AJ52" s="610">
        <v>300</v>
      </c>
      <c r="AK52" s="179">
        <v>46283</v>
      </c>
      <c r="AL52" s="64">
        <f>WEEKDAY(Sheet_1_Table_1_134[[#This Row],[Lesson 1 
Date 
(DD-MMM-YYYY)]])</f>
        <v>6</v>
      </c>
      <c r="AM52" s="761">
        <v>0.64583333333333337</v>
      </c>
      <c r="AN52" s="611">
        <v>0.70833333333333337</v>
      </c>
      <c r="AO52" s="627" t="s">
        <v>719</v>
      </c>
      <c r="AP52" s="585"/>
      <c r="AQ52" s="586">
        <v>7</v>
      </c>
      <c r="AR52" s="565"/>
      <c r="AS52" s="583"/>
      <c r="AT52" s="584"/>
      <c r="AU52" s="582"/>
      <c r="AV52" s="586">
        <v>7</v>
      </c>
      <c r="AW52" s="565"/>
      <c r="AX52" s="583"/>
      <c r="AY52" s="584"/>
      <c r="AZ52" s="587"/>
      <c r="BA52" s="586">
        <v>7</v>
      </c>
      <c r="BB52" s="565"/>
      <c r="BC52" s="583"/>
      <c r="BD52" s="584"/>
      <c r="BE52" s="582"/>
      <c r="BF52" s="586">
        <v>7</v>
      </c>
      <c r="BG52" s="565"/>
      <c r="BH52" s="583"/>
      <c r="BI52" s="584"/>
      <c r="BJ52" s="587"/>
      <c r="BK52" s="586">
        <v>7</v>
      </c>
      <c r="BL52" s="565"/>
      <c r="BM52" s="583"/>
      <c r="BN52" s="588"/>
      <c r="BO52" s="576"/>
      <c r="BP52" s="559"/>
      <c r="BQ52" s="560"/>
      <c r="BR52" s="298" t="s">
        <v>720</v>
      </c>
      <c r="BS52" s="576"/>
      <c r="BT52" s="560"/>
      <c r="BU52" s="560"/>
      <c r="BV52" s="298"/>
      <c r="BW52" s="558"/>
      <c r="BX52" s="615"/>
      <c r="BY52" s="560" t="s">
        <v>149</v>
      </c>
      <c r="BZ52" s="560"/>
      <c r="CA52" s="560" t="s">
        <v>149</v>
      </c>
      <c r="CB52" s="572" t="s">
        <v>721</v>
      </c>
      <c r="CC52" s="590" t="s">
        <v>722</v>
      </c>
      <c r="CD52" s="590">
        <v>27150115</v>
      </c>
      <c r="CE52" s="558" t="s">
        <v>723</v>
      </c>
      <c r="CF52" s="572" t="s">
        <v>724</v>
      </c>
      <c r="CG52" s="560" t="s">
        <v>725</v>
      </c>
      <c r="CH52" s="616" t="s">
        <v>726</v>
      </c>
      <c r="CI52" s="562" t="s">
        <v>142</v>
      </c>
      <c r="CJ52" s="562" t="s">
        <v>142</v>
      </c>
      <c r="CK52" s="562" t="s">
        <v>142</v>
      </c>
      <c r="CL52" s="562" t="s">
        <v>146</v>
      </c>
      <c r="CM52" s="562" t="s">
        <v>146</v>
      </c>
      <c r="CN52" s="562" t="s">
        <v>142</v>
      </c>
      <c r="CO52" s="562" t="s">
        <v>142</v>
      </c>
      <c r="CP52" s="562" t="s">
        <v>142</v>
      </c>
      <c r="CQ52" s="562" t="s">
        <v>142</v>
      </c>
      <c r="CR52" s="562" t="s">
        <v>142</v>
      </c>
      <c r="CS52" s="562" t="s">
        <v>146</v>
      </c>
      <c r="CT52" s="562" t="s">
        <v>142</v>
      </c>
      <c r="CU52" s="562" t="s">
        <v>142</v>
      </c>
      <c r="CV52" s="562" t="s">
        <v>142</v>
      </c>
      <c r="CW52" s="562" t="s">
        <v>142</v>
      </c>
      <c r="CX52" s="562" t="s">
        <v>142</v>
      </c>
      <c r="CY52" s="562" t="s">
        <v>142</v>
      </c>
      <c r="CZ52" s="575" t="s">
        <v>142</v>
      </c>
      <c r="DA52" s="576" t="s">
        <v>154</v>
      </c>
      <c r="DB52" s="577" t="s">
        <v>155</v>
      </c>
      <c r="DC52" s="577" t="s">
        <v>156</v>
      </c>
      <c r="DD52" s="577" t="s">
        <v>146</v>
      </c>
      <c r="DE52" s="577" t="s">
        <v>157</v>
      </c>
      <c r="DF52" s="577" t="s">
        <v>146</v>
      </c>
      <c r="DG52" s="578" t="s">
        <v>142</v>
      </c>
      <c r="DH52" s="578" t="s">
        <v>142</v>
      </c>
      <c r="DI52" s="578" t="s">
        <v>142</v>
      </c>
      <c r="DJ52" s="578" t="s">
        <v>142</v>
      </c>
      <c r="DK52" s="617" t="s">
        <v>146</v>
      </c>
      <c r="DL52" s="617" t="s">
        <v>146</v>
      </c>
      <c r="DM52" s="617" t="s">
        <v>146</v>
      </c>
      <c r="DN52" s="790"/>
    </row>
    <row r="53" spans="1:156" ht="195">
      <c r="A53" s="8">
        <v>51</v>
      </c>
      <c r="B53" s="579">
        <v>202609</v>
      </c>
      <c r="C53" s="577" t="s">
        <v>727</v>
      </c>
      <c r="D53" s="577" t="s">
        <v>133</v>
      </c>
      <c r="E53" s="581">
        <v>5925</v>
      </c>
      <c r="F53" s="576" t="s">
        <v>134</v>
      </c>
      <c r="G53" s="595" t="s">
        <v>712</v>
      </c>
      <c r="H53" s="604" t="s">
        <v>728</v>
      </c>
      <c r="I53" s="623" t="s">
        <v>729</v>
      </c>
      <c r="J53" s="624" t="s">
        <v>730</v>
      </c>
      <c r="K53" s="624" t="s">
        <v>731</v>
      </c>
      <c r="L53" s="595"/>
      <c r="M53" s="560" t="s">
        <v>732</v>
      </c>
      <c r="N53" s="298" t="s">
        <v>733</v>
      </c>
      <c r="O53" s="625" t="s">
        <v>142</v>
      </c>
      <c r="P53" s="575" t="s">
        <v>142</v>
      </c>
      <c r="Q53" s="558" t="s">
        <v>434</v>
      </c>
      <c r="R53" s="626" t="s">
        <v>661</v>
      </c>
      <c r="S53" s="562">
        <v>80</v>
      </c>
      <c r="T53" s="562">
        <v>0</v>
      </c>
      <c r="U53" s="562">
        <v>0</v>
      </c>
      <c r="V53" s="562">
        <v>0</v>
      </c>
      <c r="W53" s="562">
        <v>20</v>
      </c>
      <c r="X53" s="562">
        <v>0</v>
      </c>
      <c r="Y53" s="562">
        <v>0</v>
      </c>
      <c r="Z53" s="562">
        <v>0</v>
      </c>
      <c r="AA53" s="562">
        <v>0</v>
      </c>
      <c r="AB53" s="609">
        <v>100</v>
      </c>
      <c r="AC53" s="295" t="s">
        <v>734</v>
      </c>
      <c r="AD53" s="562" t="s">
        <v>190</v>
      </c>
      <c r="AE53" s="562" t="s">
        <v>142</v>
      </c>
      <c r="AF53" s="562" t="s">
        <v>146</v>
      </c>
      <c r="AG53" s="562" t="s">
        <v>142</v>
      </c>
      <c r="AH53" s="562">
        <v>12</v>
      </c>
      <c r="AI53" s="562">
        <v>19</v>
      </c>
      <c r="AJ53" s="610">
        <v>228</v>
      </c>
      <c r="AK53" s="309">
        <v>46297</v>
      </c>
      <c r="AL53" s="180">
        <f>WEEKDAY(Sheet_1_Table_1_134[[#This Row],[Lesson 1 
Date 
(DD-MMM-YYYY)]])</f>
        <v>6</v>
      </c>
      <c r="AM53" s="783">
        <v>0.625</v>
      </c>
      <c r="AN53" s="784">
        <v>0.70833333333333337</v>
      </c>
      <c r="AO53" s="785" t="s">
        <v>735</v>
      </c>
      <c r="AP53" s="184">
        <v>46304</v>
      </c>
      <c r="AQ53" s="64">
        <f>WEEKDAY(Sheet_1_Table_1_134[[#This Row],[Lesson 2
Date 
(DD-MMM-YYYY)]])</f>
        <v>6</v>
      </c>
      <c r="AR53" s="783">
        <v>0.625</v>
      </c>
      <c r="AS53" s="784">
        <v>0.70833333333333337</v>
      </c>
      <c r="AT53" s="182" t="s">
        <v>735</v>
      </c>
      <c r="AU53" s="309">
        <v>46311</v>
      </c>
      <c r="AV53" s="786">
        <f>WEEKDAY(Sheet_1_Table_1_134[[#This Row],[Lesson 3
Date 
(DD-MMM-YYYY)]])</f>
        <v>6</v>
      </c>
      <c r="AW53" s="783">
        <v>0.625</v>
      </c>
      <c r="AX53" s="784">
        <v>0.70833333333333337</v>
      </c>
      <c r="AY53" s="206" t="s">
        <v>735</v>
      </c>
      <c r="AZ53" s="184">
        <v>46318</v>
      </c>
      <c r="BA53" s="180">
        <f>WEEKDAY(Sheet_1_Table_1_134[[#This Row],[Lesson 4
Date 
(DD-MMM-YYYY)]])</f>
        <v>6</v>
      </c>
      <c r="BB53" s="783">
        <v>0.625</v>
      </c>
      <c r="BC53" s="784">
        <v>0.70833333333333337</v>
      </c>
      <c r="BD53" s="787" t="s">
        <v>735</v>
      </c>
      <c r="BE53" s="179">
        <v>46325</v>
      </c>
      <c r="BF53" s="786">
        <f>WEEKDAY(Sheet_1_Table_1_134[[#This Row],[Lesson 5
Date 
(DD-MMM-YYYY)]])</f>
        <v>6</v>
      </c>
      <c r="BG53" s="783">
        <v>0.625</v>
      </c>
      <c r="BH53" s="784">
        <v>0.70833333333333337</v>
      </c>
      <c r="BI53" s="787" t="s">
        <v>735</v>
      </c>
      <c r="BJ53" s="788">
        <v>46332</v>
      </c>
      <c r="BK53" s="180">
        <f>WEEKDAY(Sheet_1_Table_1_134[[#This Row],[Lesson 6
Date 
(DD-MMM-YYYY)]])</f>
        <v>6</v>
      </c>
      <c r="BL53" s="783">
        <v>0.625</v>
      </c>
      <c r="BM53" s="784">
        <v>0.70833333333333337</v>
      </c>
      <c r="BN53" s="789" t="s">
        <v>735</v>
      </c>
      <c r="BO53" s="576"/>
      <c r="BP53" s="559"/>
      <c r="BQ53" s="560"/>
      <c r="BR53" s="298" t="s">
        <v>736</v>
      </c>
      <c r="BS53" s="576"/>
      <c r="BT53" s="560"/>
      <c r="BU53" s="560"/>
      <c r="BV53" s="298"/>
      <c r="BW53" s="558"/>
      <c r="BX53" s="615"/>
      <c r="BY53" s="560"/>
      <c r="BZ53" s="560"/>
      <c r="CA53" s="560"/>
      <c r="CB53" s="590"/>
      <c r="CC53" s="590"/>
      <c r="CD53" s="590"/>
      <c r="CE53" s="558" t="s">
        <v>737</v>
      </c>
      <c r="CF53" s="572" t="s">
        <v>738</v>
      </c>
      <c r="CG53" s="560" t="s">
        <v>723</v>
      </c>
      <c r="CH53" s="616" t="s">
        <v>724</v>
      </c>
      <c r="CI53" s="562" t="s">
        <v>142</v>
      </c>
      <c r="CJ53" s="562" t="s">
        <v>142</v>
      </c>
      <c r="CK53" s="562" t="s">
        <v>142</v>
      </c>
      <c r="CL53" s="562" t="s">
        <v>142</v>
      </c>
      <c r="CM53" s="562" t="s">
        <v>146</v>
      </c>
      <c r="CN53" s="562" t="s">
        <v>142</v>
      </c>
      <c r="CO53" s="562" t="s">
        <v>142</v>
      </c>
      <c r="CP53" s="562" t="s">
        <v>142</v>
      </c>
      <c r="CQ53" s="562" t="s">
        <v>142</v>
      </c>
      <c r="CR53" s="562" t="s">
        <v>142</v>
      </c>
      <c r="CS53" s="562" t="s">
        <v>146</v>
      </c>
      <c r="CT53" s="562" t="s">
        <v>142</v>
      </c>
      <c r="CU53" s="562" t="s">
        <v>142</v>
      </c>
      <c r="CV53" s="562" t="s">
        <v>142</v>
      </c>
      <c r="CW53" s="562" t="s">
        <v>142</v>
      </c>
      <c r="CX53" s="562" t="s">
        <v>142</v>
      </c>
      <c r="CY53" s="562" t="s">
        <v>142</v>
      </c>
      <c r="CZ53" s="575" t="s">
        <v>142</v>
      </c>
      <c r="DA53" s="576" t="s">
        <v>154</v>
      </c>
      <c r="DB53" s="577" t="s">
        <v>155</v>
      </c>
      <c r="DC53" s="577" t="s">
        <v>156</v>
      </c>
      <c r="DD53" s="577" t="s">
        <v>146</v>
      </c>
      <c r="DE53" s="577" t="s">
        <v>157</v>
      </c>
      <c r="DF53" s="577" t="s">
        <v>146</v>
      </c>
      <c r="DG53" s="578" t="s">
        <v>142</v>
      </c>
      <c r="DH53" s="578" t="s">
        <v>146</v>
      </c>
      <c r="DI53" s="578" t="s">
        <v>142</v>
      </c>
      <c r="DJ53" s="578" t="s">
        <v>142</v>
      </c>
      <c r="DK53" s="617"/>
      <c r="DL53" s="617"/>
      <c r="DM53" s="617"/>
      <c r="DN53" s="790"/>
    </row>
    <row r="54" spans="1:156" ht="210">
      <c r="A54" s="8">
        <v>52</v>
      </c>
      <c r="B54" s="579">
        <v>202609</v>
      </c>
      <c r="C54" s="577" t="s">
        <v>739</v>
      </c>
      <c r="D54" s="577" t="s">
        <v>133</v>
      </c>
      <c r="E54" s="581">
        <v>5927</v>
      </c>
      <c r="F54" s="576" t="s">
        <v>134</v>
      </c>
      <c r="G54" s="595" t="s">
        <v>712</v>
      </c>
      <c r="H54" s="604" t="s">
        <v>740</v>
      </c>
      <c r="I54" s="623" t="s">
        <v>741</v>
      </c>
      <c r="J54" s="624" t="s">
        <v>742</v>
      </c>
      <c r="K54" s="624" t="s">
        <v>743</v>
      </c>
      <c r="L54" s="595"/>
      <c r="M54" s="560" t="s">
        <v>744</v>
      </c>
      <c r="N54" s="298" t="s">
        <v>745</v>
      </c>
      <c r="O54" s="625" t="s">
        <v>142</v>
      </c>
      <c r="P54" s="575" t="s">
        <v>142</v>
      </c>
      <c r="Q54" s="558" t="s">
        <v>434</v>
      </c>
      <c r="R54" s="626" t="s">
        <v>661</v>
      </c>
      <c r="S54" s="562"/>
      <c r="T54" s="562"/>
      <c r="U54" s="562"/>
      <c r="V54" s="562"/>
      <c r="W54" s="562">
        <v>80</v>
      </c>
      <c r="X54" s="562"/>
      <c r="Y54" s="562"/>
      <c r="Z54" s="562"/>
      <c r="AA54" s="562">
        <v>20</v>
      </c>
      <c r="AB54" s="609">
        <v>100</v>
      </c>
      <c r="AC54" s="295" t="s">
        <v>199</v>
      </c>
      <c r="AD54" s="562" t="s">
        <v>386</v>
      </c>
      <c r="AE54" s="562" t="s">
        <v>146</v>
      </c>
      <c r="AF54" s="562" t="s">
        <v>142</v>
      </c>
      <c r="AG54" s="562" t="s">
        <v>142</v>
      </c>
      <c r="AH54" s="562">
        <v>2</v>
      </c>
      <c r="AI54" s="562">
        <v>240</v>
      </c>
      <c r="AJ54" s="610">
        <v>480</v>
      </c>
      <c r="AK54" s="760">
        <v>46300</v>
      </c>
      <c r="AL54" s="64">
        <f>WEEKDAY(Sheet_1_Table_1_134[[#This Row],[Lesson 1 
Date 
(DD-MMM-YYYY)]])</f>
        <v>2</v>
      </c>
      <c r="AM54" s="761">
        <v>0.58333333333333337</v>
      </c>
      <c r="AN54" s="611">
        <v>0.66666666666666663</v>
      </c>
      <c r="AO54" s="627" t="s">
        <v>719</v>
      </c>
      <c r="AP54" s="585"/>
      <c r="AQ54" s="586">
        <v>7</v>
      </c>
      <c r="AR54" s="565"/>
      <c r="AS54" s="583"/>
      <c r="AT54" s="584"/>
      <c r="AU54" s="582"/>
      <c r="AV54" s="586">
        <v>7</v>
      </c>
      <c r="AW54" s="565"/>
      <c r="AX54" s="583"/>
      <c r="AY54" s="584"/>
      <c r="AZ54" s="587"/>
      <c r="BA54" s="586">
        <v>7</v>
      </c>
      <c r="BB54" s="565"/>
      <c r="BC54" s="583"/>
      <c r="BD54" s="584"/>
      <c r="BE54" s="582"/>
      <c r="BF54" s="586">
        <v>7</v>
      </c>
      <c r="BG54" s="565"/>
      <c r="BH54" s="583"/>
      <c r="BI54" s="584"/>
      <c r="BJ54" s="587"/>
      <c r="BK54" s="586">
        <v>7</v>
      </c>
      <c r="BL54" s="565"/>
      <c r="BM54" s="583"/>
      <c r="BN54" s="588"/>
      <c r="BO54" s="576" t="s">
        <v>163</v>
      </c>
      <c r="BP54" s="559" t="s">
        <v>746</v>
      </c>
      <c r="BQ54" s="560" t="s">
        <v>487</v>
      </c>
      <c r="BR54" s="298"/>
      <c r="BS54" s="576"/>
      <c r="BT54" s="560"/>
      <c r="BU54" s="560"/>
      <c r="BV54" s="298"/>
      <c r="BW54" s="558"/>
      <c r="BX54" s="615"/>
      <c r="BY54" s="560"/>
      <c r="BZ54" s="560"/>
      <c r="CA54" s="560"/>
      <c r="CB54" s="572" t="s">
        <v>747</v>
      </c>
      <c r="CC54" s="590" t="s">
        <v>748</v>
      </c>
      <c r="CD54" s="590">
        <v>20261005</v>
      </c>
      <c r="CE54" s="558" t="s">
        <v>737</v>
      </c>
      <c r="CF54" s="572" t="s">
        <v>738</v>
      </c>
      <c r="CG54" s="560" t="s">
        <v>723</v>
      </c>
      <c r="CH54" s="616" t="s">
        <v>724</v>
      </c>
      <c r="CI54" s="562" t="s">
        <v>142</v>
      </c>
      <c r="CJ54" s="562" t="s">
        <v>142</v>
      </c>
      <c r="CK54" s="562" t="s">
        <v>142</v>
      </c>
      <c r="CL54" s="562" t="s">
        <v>142</v>
      </c>
      <c r="CM54" s="562" t="s">
        <v>146</v>
      </c>
      <c r="CN54" s="562" t="s">
        <v>142</v>
      </c>
      <c r="CO54" s="562" t="s">
        <v>142</v>
      </c>
      <c r="CP54" s="562" t="s">
        <v>142</v>
      </c>
      <c r="CQ54" s="562" t="s">
        <v>142</v>
      </c>
      <c r="CR54" s="562" t="s">
        <v>142</v>
      </c>
      <c r="CS54" s="562" t="s">
        <v>142</v>
      </c>
      <c r="CT54" s="562" t="s">
        <v>142</v>
      </c>
      <c r="CU54" s="562" t="s">
        <v>142</v>
      </c>
      <c r="CV54" s="562" t="s">
        <v>142</v>
      </c>
      <c r="CW54" s="562" t="s">
        <v>142</v>
      </c>
      <c r="CX54" s="562" t="s">
        <v>142</v>
      </c>
      <c r="CY54" s="562" t="s">
        <v>142</v>
      </c>
      <c r="CZ54" s="575" t="s">
        <v>142</v>
      </c>
      <c r="DA54" s="576" t="s">
        <v>154</v>
      </c>
      <c r="DB54" s="577" t="s">
        <v>155</v>
      </c>
      <c r="DC54" s="577" t="s">
        <v>156</v>
      </c>
      <c r="DD54" s="577" t="s">
        <v>146</v>
      </c>
      <c r="DE54" s="577" t="s">
        <v>157</v>
      </c>
      <c r="DF54" s="577" t="s">
        <v>146</v>
      </c>
      <c r="DG54" s="578" t="s">
        <v>142</v>
      </c>
      <c r="DH54" s="578" t="s">
        <v>142</v>
      </c>
      <c r="DI54" s="578" t="s">
        <v>146</v>
      </c>
      <c r="DJ54" s="578" t="s">
        <v>142</v>
      </c>
      <c r="DK54" s="617"/>
      <c r="DL54" s="617"/>
      <c r="DM54" s="617"/>
      <c r="DN54" s="790"/>
    </row>
    <row r="55" spans="1:156" ht="105">
      <c r="A55" s="8">
        <v>53</v>
      </c>
      <c r="B55" s="579">
        <v>202609</v>
      </c>
      <c r="C55" s="577" t="s">
        <v>749</v>
      </c>
      <c r="D55" s="577" t="s">
        <v>133</v>
      </c>
      <c r="E55" s="581">
        <v>5930</v>
      </c>
      <c r="F55" s="576" t="s">
        <v>134</v>
      </c>
      <c r="G55" s="595" t="s">
        <v>712</v>
      </c>
      <c r="H55" s="604" t="s">
        <v>740</v>
      </c>
      <c r="I55" s="623" t="s">
        <v>741</v>
      </c>
      <c r="J55" s="624" t="s">
        <v>750</v>
      </c>
      <c r="K55" s="624" t="s">
        <v>751</v>
      </c>
      <c r="L55" s="595"/>
      <c r="M55" s="560" t="s">
        <v>752</v>
      </c>
      <c r="N55" s="298" t="s">
        <v>753</v>
      </c>
      <c r="O55" s="625" t="s">
        <v>142</v>
      </c>
      <c r="P55" s="575" t="s">
        <v>142</v>
      </c>
      <c r="Q55" s="558" t="s">
        <v>434</v>
      </c>
      <c r="R55" s="626" t="s">
        <v>661</v>
      </c>
      <c r="S55" s="562"/>
      <c r="T55" s="562"/>
      <c r="U55" s="562"/>
      <c r="V55" s="562"/>
      <c r="W55" s="562">
        <v>80</v>
      </c>
      <c r="X55" s="562"/>
      <c r="Y55" s="562"/>
      <c r="Z55" s="562"/>
      <c r="AA55" s="562">
        <v>20</v>
      </c>
      <c r="AB55" s="609">
        <v>100</v>
      </c>
      <c r="AC55" s="295" t="s">
        <v>199</v>
      </c>
      <c r="AD55" s="562" t="s">
        <v>386</v>
      </c>
      <c r="AE55" s="562" t="s">
        <v>146</v>
      </c>
      <c r="AF55" s="562" t="s">
        <v>142</v>
      </c>
      <c r="AG55" s="562" t="s">
        <v>142</v>
      </c>
      <c r="AH55" s="562">
        <v>2</v>
      </c>
      <c r="AI55" s="562">
        <v>240</v>
      </c>
      <c r="AJ55" s="610">
        <v>480</v>
      </c>
      <c r="AK55" s="760">
        <v>46307</v>
      </c>
      <c r="AL55" s="64">
        <f>WEEKDAY(Sheet_1_Table_1_134[[#This Row],[Lesson 1 
Date 
(DD-MMM-YYYY)]])</f>
        <v>2</v>
      </c>
      <c r="AM55" s="761">
        <v>0.58333333333333337</v>
      </c>
      <c r="AN55" s="611">
        <v>0.66666666666666663</v>
      </c>
      <c r="AO55" s="627" t="s">
        <v>719</v>
      </c>
      <c r="AP55" s="585"/>
      <c r="AQ55" s="586">
        <v>7</v>
      </c>
      <c r="AR55" s="565"/>
      <c r="AS55" s="583"/>
      <c r="AT55" s="584"/>
      <c r="AU55" s="582"/>
      <c r="AV55" s="586">
        <v>7</v>
      </c>
      <c r="AW55" s="565"/>
      <c r="AX55" s="583"/>
      <c r="AY55" s="584"/>
      <c r="AZ55" s="587"/>
      <c r="BA55" s="586">
        <v>7</v>
      </c>
      <c r="BB55" s="565"/>
      <c r="BC55" s="583"/>
      <c r="BD55" s="584"/>
      <c r="BE55" s="582"/>
      <c r="BF55" s="586">
        <v>7</v>
      </c>
      <c r="BG55" s="565"/>
      <c r="BH55" s="583"/>
      <c r="BI55" s="584"/>
      <c r="BJ55" s="587"/>
      <c r="BK55" s="586">
        <v>7</v>
      </c>
      <c r="BL55" s="565"/>
      <c r="BM55" s="583"/>
      <c r="BN55" s="588"/>
      <c r="BO55" s="576" t="s">
        <v>163</v>
      </c>
      <c r="BP55" s="559" t="s">
        <v>746</v>
      </c>
      <c r="BQ55" s="560" t="s">
        <v>487</v>
      </c>
      <c r="BR55" s="298"/>
      <c r="BS55" s="576"/>
      <c r="BT55" s="560"/>
      <c r="BU55" s="560"/>
      <c r="BV55" s="298"/>
      <c r="BW55" s="558"/>
      <c r="BX55" s="615"/>
      <c r="BY55" s="560"/>
      <c r="BZ55" s="560"/>
      <c r="CA55" s="560"/>
      <c r="CB55" s="572" t="s">
        <v>754</v>
      </c>
      <c r="CC55" s="590" t="s">
        <v>755</v>
      </c>
      <c r="CD55" s="590">
        <v>20261012</v>
      </c>
      <c r="CE55" s="558" t="s">
        <v>737</v>
      </c>
      <c r="CF55" s="572" t="s">
        <v>738</v>
      </c>
      <c r="CG55" s="560" t="s">
        <v>723</v>
      </c>
      <c r="CH55" s="616" t="s">
        <v>724</v>
      </c>
      <c r="CI55" s="562" t="s">
        <v>142</v>
      </c>
      <c r="CJ55" s="562" t="s">
        <v>142</v>
      </c>
      <c r="CK55" s="562" t="s">
        <v>142</v>
      </c>
      <c r="CL55" s="562" t="s">
        <v>142</v>
      </c>
      <c r="CM55" s="562" t="s">
        <v>146</v>
      </c>
      <c r="CN55" s="562" t="s">
        <v>142</v>
      </c>
      <c r="CO55" s="562" t="s">
        <v>142</v>
      </c>
      <c r="CP55" s="562" t="s">
        <v>142</v>
      </c>
      <c r="CQ55" s="562" t="s">
        <v>142</v>
      </c>
      <c r="CR55" s="562" t="s">
        <v>142</v>
      </c>
      <c r="CS55" s="562" t="s">
        <v>142</v>
      </c>
      <c r="CT55" s="562" t="s">
        <v>142</v>
      </c>
      <c r="CU55" s="562" t="s">
        <v>142</v>
      </c>
      <c r="CV55" s="562" t="s">
        <v>142</v>
      </c>
      <c r="CW55" s="562" t="s">
        <v>142</v>
      </c>
      <c r="CX55" s="562" t="s">
        <v>142</v>
      </c>
      <c r="CY55" s="562" t="s">
        <v>142</v>
      </c>
      <c r="CZ55" s="575" t="s">
        <v>142</v>
      </c>
      <c r="DA55" s="576" t="s">
        <v>154</v>
      </c>
      <c r="DB55" s="577" t="s">
        <v>155</v>
      </c>
      <c r="DC55" s="577" t="s">
        <v>156</v>
      </c>
      <c r="DD55" s="577" t="s">
        <v>146</v>
      </c>
      <c r="DE55" s="577" t="s">
        <v>157</v>
      </c>
      <c r="DF55" s="577" t="s">
        <v>146</v>
      </c>
      <c r="DG55" s="578" t="s">
        <v>142</v>
      </c>
      <c r="DH55" s="578" t="s">
        <v>142</v>
      </c>
      <c r="DI55" s="578" t="s">
        <v>146</v>
      </c>
      <c r="DJ55" s="578" t="s">
        <v>142</v>
      </c>
      <c r="DK55" s="618"/>
      <c r="DL55" s="618"/>
      <c r="DM55" s="618"/>
      <c r="DN55" s="790"/>
    </row>
    <row r="56" spans="1:156" ht="135">
      <c r="A56" s="8">
        <v>54</v>
      </c>
      <c r="B56" s="49">
        <v>202609</v>
      </c>
      <c r="C56" s="50" t="s">
        <v>756</v>
      </c>
      <c r="D56" s="50" t="s">
        <v>133</v>
      </c>
      <c r="E56" s="51">
        <v>5932</v>
      </c>
      <c r="F56" s="54" t="s">
        <v>134</v>
      </c>
      <c r="G56" s="53" t="s">
        <v>712</v>
      </c>
      <c r="H56" s="601" t="s">
        <v>740</v>
      </c>
      <c r="I56" s="621" t="s">
        <v>741</v>
      </c>
      <c r="J56" s="622" t="s">
        <v>757</v>
      </c>
      <c r="K56" s="622" t="s">
        <v>758</v>
      </c>
      <c r="L56" s="53"/>
      <c r="M56" s="56" t="s">
        <v>759</v>
      </c>
      <c r="N56" s="57" t="s">
        <v>760</v>
      </c>
      <c r="O56" s="222" t="s">
        <v>142</v>
      </c>
      <c r="P56" s="96" t="s">
        <v>142</v>
      </c>
      <c r="Q56" s="60" t="s">
        <v>434</v>
      </c>
      <c r="R56" s="194" t="s">
        <v>661</v>
      </c>
      <c r="S56" s="55">
        <v>50</v>
      </c>
      <c r="T56" s="55">
        <v>0</v>
      </c>
      <c r="U56" s="55">
        <v>0</v>
      </c>
      <c r="V56" s="55">
        <v>0</v>
      </c>
      <c r="W56" s="55">
        <v>0</v>
      </c>
      <c r="X56" s="55">
        <v>0</v>
      </c>
      <c r="Y56" s="55">
        <v>0</v>
      </c>
      <c r="Z56" s="55">
        <v>0</v>
      </c>
      <c r="AA56" s="55">
        <v>50</v>
      </c>
      <c r="AB56" s="132">
        <v>100</v>
      </c>
      <c r="AC56" s="97" t="s">
        <v>199</v>
      </c>
      <c r="AD56" s="55" t="s">
        <v>190</v>
      </c>
      <c r="AE56" s="55" t="s">
        <v>142</v>
      </c>
      <c r="AF56" s="55" t="s">
        <v>146</v>
      </c>
      <c r="AG56" s="55" t="s">
        <v>142</v>
      </c>
      <c r="AH56" s="55">
        <v>2</v>
      </c>
      <c r="AI56" s="55">
        <v>20</v>
      </c>
      <c r="AJ56" s="62">
        <v>40</v>
      </c>
      <c r="AK56" s="760">
        <v>46310</v>
      </c>
      <c r="AL56" s="64">
        <f>WEEKDAY(Sheet_1_Table_1_134[[#This Row],[Lesson 1 
Date 
(DD-MMM-YYYY)]])</f>
        <v>5</v>
      </c>
      <c r="AM56" s="552">
        <v>0.58333333333333337</v>
      </c>
      <c r="AN56" s="553">
        <v>0.66666666666666663</v>
      </c>
      <c r="AO56" s="602" t="s">
        <v>460</v>
      </c>
      <c r="AP56" s="555"/>
      <c r="AQ56" s="64">
        <v>7</v>
      </c>
      <c r="AR56" s="65"/>
      <c r="AS56" s="66"/>
      <c r="AT56" s="126"/>
      <c r="AU56" s="63"/>
      <c r="AV56" s="64">
        <v>7</v>
      </c>
      <c r="AW56" s="65"/>
      <c r="AX56" s="66"/>
      <c r="AY56" s="126"/>
      <c r="AZ56" s="98"/>
      <c r="BA56" s="64">
        <v>7</v>
      </c>
      <c r="BB56" s="65"/>
      <c r="BC56" s="66"/>
      <c r="BD56" s="126"/>
      <c r="BE56" s="63"/>
      <c r="BF56" s="64">
        <v>7</v>
      </c>
      <c r="BG56" s="65"/>
      <c r="BH56" s="66"/>
      <c r="BI56" s="126"/>
      <c r="BJ56" s="98"/>
      <c r="BK56" s="64">
        <v>7</v>
      </c>
      <c r="BL56" s="65"/>
      <c r="BM56" s="66"/>
      <c r="BN56" s="99"/>
      <c r="BO56" s="54" t="s">
        <v>761</v>
      </c>
      <c r="BP56" s="69" t="s">
        <v>762</v>
      </c>
      <c r="BQ56" s="56" t="s">
        <v>763</v>
      </c>
      <c r="BR56" s="57" t="s">
        <v>764</v>
      </c>
      <c r="BS56" s="54"/>
      <c r="BT56" s="56"/>
      <c r="BU56" s="56"/>
      <c r="BV56" s="57"/>
      <c r="BW56" s="60"/>
      <c r="BX56" s="187"/>
      <c r="BY56" s="56" t="s">
        <v>184</v>
      </c>
      <c r="BZ56" s="56"/>
      <c r="CA56" s="56" t="s">
        <v>184</v>
      </c>
      <c r="CB56" s="72"/>
      <c r="CC56" s="72"/>
      <c r="CD56" s="72"/>
      <c r="CE56" s="60" t="s">
        <v>723</v>
      </c>
      <c r="CF56" s="507" t="s">
        <v>724</v>
      </c>
      <c r="CG56" s="56" t="s">
        <v>725</v>
      </c>
      <c r="CH56" s="603" t="s">
        <v>726</v>
      </c>
      <c r="CI56" s="55" t="s">
        <v>142</v>
      </c>
      <c r="CJ56" s="55" t="s">
        <v>142</v>
      </c>
      <c r="CK56" s="55" t="s">
        <v>142</v>
      </c>
      <c r="CL56" s="55" t="s">
        <v>142</v>
      </c>
      <c r="CM56" s="55" t="s">
        <v>146</v>
      </c>
      <c r="CN56" s="55" t="s">
        <v>142</v>
      </c>
      <c r="CO56" s="55" t="s">
        <v>142</v>
      </c>
      <c r="CP56" s="55" t="s">
        <v>142</v>
      </c>
      <c r="CQ56" s="55" t="s">
        <v>142</v>
      </c>
      <c r="CR56" s="55" t="s">
        <v>142</v>
      </c>
      <c r="CS56" s="55" t="s">
        <v>142</v>
      </c>
      <c r="CT56" s="55" t="s">
        <v>142</v>
      </c>
      <c r="CU56" s="55" t="s">
        <v>142</v>
      </c>
      <c r="CV56" s="55" t="s">
        <v>142</v>
      </c>
      <c r="CW56" s="55" t="s">
        <v>142</v>
      </c>
      <c r="CX56" s="55" t="s">
        <v>142</v>
      </c>
      <c r="CY56" s="55" t="s">
        <v>142</v>
      </c>
      <c r="CZ56" s="96" t="s">
        <v>142</v>
      </c>
      <c r="DA56" s="54" t="s">
        <v>154</v>
      </c>
      <c r="DB56" s="50" t="s">
        <v>155</v>
      </c>
      <c r="DC56" s="50" t="s">
        <v>156</v>
      </c>
      <c r="DD56" s="50" t="s">
        <v>146</v>
      </c>
      <c r="DE56" s="50" t="s">
        <v>157</v>
      </c>
      <c r="DF56" s="50" t="s">
        <v>146</v>
      </c>
      <c r="DG56" s="73" t="s">
        <v>142</v>
      </c>
      <c r="DH56" s="73" t="s">
        <v>142</v>
      </c>
      <c r="DI56" s="73" t="s">
        <v>142</v>
      </c>
      <c r="DJ56" s="73" t="s">
        <v>146</v>
      </c>
      <c r="DK56" s="76" t="s">
        <v>146</v>
      </c>
      <c r="DL56" s="76" t="s">
        <v>146</v>
      </c>
      <c r="DM56" s="76" t="s">
        <v>146</v>
      </c>
      <c r="DN56" s="790"/>
    </row>
    <row r="57" spans="1:156" ht="150">
      <c r="A57" s="8">
        <v>55</v>
      </c>
      <c r="B57" s="579">
        <v>202609</v>
      </c>
      <c r="C57" s="577" t="s">
        <v>765</v>
      </c>
      <c r="D57" s="577" t="s">
        <v>133</v>
      </c>
      <c r="E57" s="581">
        <v>5933</v>
      </c>
      <c r="F57" s="576" t="s">
        <v>134</v>
      </c>
      <c r="G57" s="595" t="s">
        <v>712</v>
      </c>
      <c r="H57" s="604" t="s">
        <v>740</v>
      </c>
      <c r="I57" s="623" t="s">
        <v>741</v>
      </c>
      <c r="J57" s="624" t="s">
        <v>766</v>
      </c>
      <c r="K57" s="624" t="s">
        <v>767</v>
      </c>
      <c r="L57" s="595"/>
      <c r="M57" s="560" t="s">
        <v>768</v>
      </c>
      <c r="N57" s="298" t="s">
        <v>769</v>
      </c>
      <c r="O57" s="625" t="s">
        <v>142</v>
      </c>
      <c r="P57" s="575" t="s">
        <v>142</v>
      </c>
      <c r="Q57" s="558" t="s">
        <v>434</v>
      </c>
      <c r="R57" s="626" t="s">
        <v>661</v>
      </c>
      <c r="S57" s="562">
        <v>50</v>
      </c>
      <c r="T57" s="562"/>
      <c r="U57" s="562"/>
      <c r="V57" s="562"/>
      <c r="W57" s="562"/>
      <c r="X57" s="562"/>
      <c r="Y57" s="562"/>
      <c r="Z57" s="562"/>
      <c r="AA57" s="562">
        <v>50</v>
      </c>
      <c r="AB57" s="609">
        <v>100</v>
      </c>
      <c r="AC57" s="295" t="s">
        <v>199</v>
      </c>
      <c r="AD57" s="562" t="s">
        <v>190</v>
      </c>
      <c r="AE57" s="562" t="s">
        <v>146</v>
      </c>
      <c r="AF57" s="562" t="s">
        <v>142</v>
      </c>
      <c r="AG57" s="562" t="s">
        <v>142</v>
      </c>
      <c r="AH57" s="562">
        <v>3</v>
      </c>
      <c r="AI57" s="562">
        <v>20</v>
      </c>
      <c r="AJ57" s="610">
        <v>60</v>
      </c>
      <c r="AK57" s="179">
        <v>46315</v>
      </c>
      <c r="AL57" s="180">
        <f>WEEKDAY(Sheet_1_Table_1_134[[#This Row],[Lesson 1 
Date 
(DD-MMM-YYYY)]])</f>
        <v>3</v>
      </c>
      <c r="AM57" s="778">
        <v>0.54166666666666663</v>
      </c>
      <c r="AN57" s="779">
        <v>0.66666666666666663</v>
      </c>
      <c r="AO57" s="780" t="s">
        <v>460</v>
      </c>
      <c r="AP57" s="585"/>
      <c r="AQ57" s="586">
        <v>7</v>
      </c>
      <c r="AR57" s="565"/>
      <c r="AS57" s="583"/>
      <c r="AT57" s="584"/>
      <c r="AU57" s="582"/>
      <c r="AV57" s="586">
        <v>7</v>
      </c>
      <c r="AW57" s="565"/>
      <c r="AX57" s="583"/>
      <c r="AY57" s="584"/>
      <c r="AZ57" s="587"/>
      <c r="BA57" s="586">
        <v>7</v>
      </c>
      <c r="BB57" s="565"/>
      <c r="BC57" s="583"/>
      <c r="BD57" s="584"/>
      <c r="BE57" s="582"/>
      <c r="BF57" s="586">
        <v>7</v>
      </c>
      <c r="BG57" s="565"/>
      <c r="BH57" s="583"/>
      <c r="BI57" s="584"/>
      <c r="BJ57" s="587"/>
      <c r="BK57" s="586">
        <v>7</v>
      </c>
      <c r="BL57" s="565"/>
      <c r="BM57" s="583"/>
      <c r="BN57" s="588"/>
      <c r="BO57" s="576"/>
      <c r="BP57" s="559"/>
      <c r="BQ57" s="560"/>
      <c r="BR57" s="298" t="s">
        <v>770</v>
      </c>
      <c r="BS57" s="576"/>
      <c r="BT57" s="560"/>
      <c r="BU57" s="560"/>
      <c r="BV57" s="298"/>
      <c r="BW57" s="558"/>
      <c r="BX57" s="615"/>
      <c r="BY57" s="560"/>
      <c r="BZ57" s="560"/>
      <c r="CA57" s="560"/>
      <c r="CB57" s="590"/>
      <c r="CC57" s="590"/>
      <c r="CD57" s="590"/>
      <c r="CE57" s="558" t="s">
        <v>737</v>
      </c>
      <c r="CF57" s="572" t="s">
        <v>738</v>
      </c>
      <c r="CG57" s="560" t="s">
        <v>723</v>
      </c>
      <c r="CH57" s="616" t="s">
        <v>724</v>
      </c>
      <c r="CI57" s="562" t="s">
        <v>142</v>
      </c>
      <c r="CJ57" s="562" t="s">
        <v>142</v>
      </c>
      <c r="CK57" s="562" t="s">
        <v>142</v>
      </c>
      <c r="CL57" s="562" t="s">
        <v>142</v>
      </c>
      <c r="CM57" s="562" t="s">
        <v>146</v>
      </c>
      <c r="CN57" s="562" t="s">
        <v>142</v>
      </c>
      <c r="CO57" s="562" t="s">
        <v>142</v>
      </c>
      <c r="CP57" s="562" t="s">
        <v>142</v>
      </c>
      <c r="CQ57" s="562" t="s">
        <v>142</v>
      </c>
      <c r="CR57" s="562" t="s">
        <v>142</v>
      </c>
      <c r="CS57" s="562" t="s">
        <v>142</v>
      </c>
      <c r="CT57" s="562" t="s">
        <v>142</v>
      </c>
      <c r="CU57" s="562" t="s">
        <v>142</v>
      </c>
      <c r="CV57" s="562" t="s">
        <v>142</v>
      </c>
      <c r="CW57" s="562" t="s">
        <v>142</v>
      </c>
      <c r="CX57" s="562" t="s">
        <v>142</v>
      </c>
      <c r="CY57" s="562" t="s">
        <v>142</v>
      </c>
      <c r="CZ57" s="575" t="s">
        <v>142</v>
      </c>
      <c r="DA57" s="576" t="s">
        <v>154</v>
      </c>
      <c r="DB57" s="577" t="s">
        <v>155</v>
      </c>
      <c r="DC57" s="577" t="s">
        <v>156</v>
      </c>
      <c r="DD57" s="577" t="s">
        <v>146</v>
      </c>
      <c r="DE57" s="577" t="s">
        <v>157</v>
      </c>
      <c r="DF57" s="577" t="s">
        <v>146</v>
      </c>
      <c r="DG57" s="578" t="s">
        <v>142</v>
      </c>
      <c r="DH57" s="578" t="s">
        <v>142</v>
      </c>
      <c r="DI57" s="578" t="s">
        <v>142</v>
      </c>
      <c r="DJ57" s="578" t="s">
        <v>146</v>
      </c>
      <c r="DK57" s="76" t="s">
        <v>146</v>
      </c>
      <c r="DL57" s="76" t="s">
        <v>146</v>
      </c>
      <c r="DM57" s="76" t="s">
        <v>146</v>
      </c>
      <c r="DN57" s="790"/>
    </row>
    <row r="58" spans="1:156" ht="165">
      <c r="A58" s="8">
        <v>56</v>
      </c>
      <c r="B58" s="49">
        <v>202609</v>
      </c>
      <c r="C58" s="718" t="s">
        <v>771</v>
      </c>
      <c r="D58" s="718" t="s">
        <v>133</v>
      </c>
      <c r="E58" s="719">
        <v>5794</v>
      </c>
      <c r="F58" s="717" t="s">
        <v>772</v>
      </c>
      <c r="G58" s="711"/>
      <c r="H58" s="720"/>
      <c r="I58" s="125"/>
      <c r="J58" s="716"/>
      <c r="K58" s="717" t="s">
        <v>773</v>
      </c>
      <c r="L58" s="711"/>
      <c r="M58" s="721" t="s">
        <v>774</v>
      </c>
      <c r="N58" s="125" t="s">
        <v>775</v>
      </c>
      <c r="O58" s="722" t="s">
        <v>142</v>
      </c>
      <c r="P58" s="723" t="s">
        <v>142</v>
      </c>
      <c r="Q58" s="716" t="s">
        <v>434</v>
      </c>
      <c r="R58" s="626" t="s">
        <v>661</v>
      </c>
      <c r="S58" s="712">
        <v>0</v>
      </c>
      <c r="T58" s="712">
        <v>0</v>
      </c>
      <c r="U58" s="712">
        <v>0</v>
      </c>
      <c r="V58" s="712">
        <v>100</v>
      </c>
      <c r="W58" s="712">
        <v>0</v>
      </c>
      <c r="X58" s="712">
        <v>0</v>
      </c>
      <c r="Y58" s="712">
        <v>0</v>
      </c>
      <c r="Z58" s="712">
        <v>0</v>
      </c>
      <c r="AA58" s="712">
        <v>0</v>
      </c>
      <c r="AB58" s="609">
        <v>100</v>
      </c>
      <c r="AC58" s="720" t="s">
        <v>199</v>
      </c>
      <c r="AD58" s="712" t="s">
        <v>190</v>
      </c>
      <c r="AE58" s="712" t="s">
        <v>146</v>
      </c>
      <c r="AF58" s="712" t="s">
        <v>146</v>
      </c>
      <c r="AG58" s="712" t="s">
        <v>142</v>
      </c>
      <c r="AH58" s="712">
        <v>4</v>
      </c>
      <c r="AI58" s="712">
        <v>10</v>
      </c>
      <c r="AJ58" s="713">
        <f>SUM(Sheet_1_Table_1_134[[#This Row],[ILP Units Per Session]]*Sheet_1_Table_1_134[[#This Row],[Quota]])</f>
        <v>40</v>
      </c>
      <c r="AK58" s="760">
        <v>46276</v>
      </c>
      <c r="AL58" s="64">
        <f>WEEKDAY(Sheet_1_Table_1_134[[#This Row],[Lesson 1 
Date 
(DD-MMM-YYYY)]])</f>
        <v>6</v>
      </c>
      <c r="AM58" s="762">
        <v>0.66666666666666663</v>
      </c>
      <c r="AN58" s="724">
        <v>0.75</v>
      </c>
      <c r="AO58" s="725" t="s">
        <v>772</v>
      </c>
      <c r="AP58" s="726">
        <v>46283</v>
      </c>
      <c r="AQ58" s="714">
        <f>WEEKDAY(Sheet_1_Table_1_134[[#This Row],[Lesson 2
Date 
(DD-MMM-YYYY)]] )</f>
        <v>6</v>
      </c>
      <c r="AR58" s="715">
        <v>0.66666666666666663</v>
      </c>
      <c r="AS58" s="684">
        <v>0.75</v>
      </c>
      <c r="AT58" s="727" t="s">
        <v>772</v>
      </c>
      <c r="AU58" s="728"/>
      <c r="AV58" s="714" t="e">
        <f>WEEKDAY([2]!Sheet_1_Table_1_13[[#This Row],[Lesson 3
Date 
(DD-MMM-YYYY)]])</f>
        <v>#REF!</v>
      </c>
      <c r="AW58" s="715"/>
      <c r="AX58" s="684"/>
      <c r="AY58" s="727"/>
      <c r="AZ58" s="729"/>
      <c r="BA58" s="714" t="e">
        <f>WEEKDAY([2]!Sheet_1_Table_1_13[[#This Row],[Lesson 4
Date 
(DD-MMM-YYYY)]])</f>
        <v>#REF!</v>
      </c>
      <c r="BB58" s="715"/>
      <c r="BC58" s="684"/>
      <c r="BD58" s="727"/>
      <c r="BE58" s="728"/>
      <c r="BF58" s="714" t="e">
        <f>WEEKDAY([2]!Sheet_1_Table_1_13[[#This Row],[Lesson 5
Date 
(DD-MMM-YYYY)]])</f>
        <v>#REF!</v>
      </c>
      <c r="BG58" s="715"/>
      <c r="BH58" s="684"/>
      <c r="BI58" s="727"/>
      <c r="BJ58" s="729"/>
      <c r="BK58" s="714" t="e">
        <f>WEEKDAY([2]!Sheet_1_Table_1_13[[#This Row],[Lesson 6
Date 
(DD-MMM-YYYY)]])</f>
        <v>#REF!</v>
      </c>
      <c r="BL58" s="715"/>
      <c r="BM58" s="684"/>
      <c r="BN58" s="730"/>
      <c r="BO58" s="717" t="s">
        <v>293</v>
      </c>
      <c r="BP58" s="731" t="s">
        <v>776</v>
      </c>
      <c r="BQ58" s="721" t="s">
        <v>777</v>
      </c>
      <c r="BR58" s="125" t="s">
        <v>778</v>
      </c>
      <c r="BS58" s="717"/>
      <c r="BT58" s="721"/>
      <c r="BU58" s="721"/>
      <c r="BV58" s="125"/>
      <c r="BW58" s="716">
        <v>0</v>
      </c>
      <c r="BX58" s="732"/>
      <c r="BY58" s="721" t="s">
        <v>149</v>
      </c>
      <c r="BZ58" s="721"/>
      <c r="CA58" s="721" t="s">
        <v>149</v>
      </c>
      <c r="CB58" s="733"/>
      <c r="CC58" s="733"/>
      <c r="CD58" s="733"/>
      <c r="CE58" s="716" t="s">
        <v>779</v>
      </c>
      <c r="CF58" s="735" t="s">
        <v>780</v>
      </c>
      <c r="CG58" s="721" t="s">
        <v>781</v>
      </c>
      <c r="CH58" s="737" t="s">
        <v>782</v>
      </c>
      <c r="CI58" s="712" t="s">
        <v>146</v>
      </c>
      <c r="CJ58" s="712" t="s">
        <v>142</v>
      </c>
      <c r="CK58" s="712" t="s">
        <v>142</v>
      </c>
      <c r="CL58" s="712" t="s">
        <v>146</v>
      </c>
      <c r="CM58" s="712" t="s">
        <v>142</v>
      </c>
      <c r="CN58" s="712" t="s">
        <v>142</v>
      </c>
      <c r="CO58" s="712" t="s">
        <v>142</v>
      </c>
      <c r="CP58" s="712" t="s">
        <v>142</v>
      </c>
      <c r="CQ58" s="712" t="s">
        <v>142</v>
      </c>
      <c r="CR58" s="712" t="s">
        <v>142</v>
      </c>
      <c r="CS58" s="712" t="s">
        <v>142</v>
      </c>
      <c r="CT58" s="712" t="s">
        <v>142</v>
      </c>
      <c r="CU58" s="712" t="s">
        <v>142</v>
      </c>
      <c r="CV58" s="712" t="s">
        <v>142</v>
      </c>
      <c r="CW58" s="712" t="s">
        <v>142</v>
      </c>
      <c r="CX58" s="712" t="s">
        <v>142</v>
      </c>
      <c r="CY58" s="712" t="s">
        <v>142</v>
      </c>
      <c r="CZ58" s="723" t="s">
        <v>142</v>
      </c>
      <c r="DA58" s="717" t="s">
        <v>154</v>
      </c>
      <c r="DB58" s="718" t="s">
        <v>155</v>
      </c>
      <c r="DC58" s="718" t="s">
        <v>156</v>
      </c>
      <c r="DD58" s="718" t="s">
        <v>146</v>
      </c>
      <c r="DE58" s="718" t="s">
        <v>157</v>
      </c>
      <c r="DF58" s="718" t="s">
        <v>146</v>
      </c>
      <c r="DG58" s="738"/>
      <c r="DH58" s="738"/>
      <c r="DI58" s="738"/>
      <c r="DJ58" s="738"/>
      <c r="DK58" s="76" t="s">
        <v>146</v>
      </c>
      <c r="DL58" s="76" t="s">
        <v>146</v>
      </c>
      <c r="DM58" s="76" t="s">
        <v>146</v>
      </c>
      <c r="DN58" s="790"/>
    </row>
    <row r="59" spans="1:156" ht="300">
      <c r="A59" s="8">
        <v>57</v>
      </c>
      <c r="B59" s="49">
        <v>202609</v>
      </c>
      <c r="C59" s="50" t="s">
        <v>783</v>
      </c>
      <c r="D59" s="50" t="s">
        <v>174</v>
      </c>
      <c r="E59" s="51">
        <v>5795</v>
      </c>
      <c r="F59" s="54" t="s">
        <v>772</v>
      </c>
      <c r="G59" s="53"/>
      <c r="H59" s="95"/>
      <c r="I59" s="84"/>
      <c r="J59" s="60" t="s">
        <v>784</v>
      </c>
      <c r="K59" s="54" t="s">
        <v>785</v>
      </c>
      <c r="L59" s="53"/>
      <c r="M59" s="56" t="s">
        <v>786</v>
      </c>
      <c r="N59" s="57" t="s">
        <v>787</v>
      </c>
      <c r="O59" s="222" t="s">
        <v>146</v>
      </c>
      <c r="P59" s="96" t="s">
        <v>146</v>
      </c>
      <c r="Q59" s="60" t="s">
        <v>434</v>
      </c>
      <c r="R59" s="626" t="s">
        <v>661</v>
      </c>
      <c r="S59" s="55">
        <v>100</v>
      </c>
      <c r="T59" s="55">
        <v>0</v>
      </c>
      <c r="U59" s="55">
        <v>0</v>
      </c>
      <c r="V59" s="55">
        <v>0</v>
      </c>
      <c r="W59" s="55">
        <v>0</v>
      </c>
      <c r="X59" s="55">
        <v>0</v>
      </c>
      <c r="Y59" s="55">
        <v>0</v>
      </c>
      <c r="Z59" s="55">
        <v>0</v>
      </c>
      <c r="AA59" s="55">
        <v>0</v>
      </c>
      <c r="AB59" s="609">
        <v>100</v>
      </c>
      <c r="AC59" s="97" t="s">
        <v>144</v>
      </c>
      <c r="AD59" s="55" t="s">
        <v>190</v>
      </c>
      <c r="AE59" s="55" t="s">
        <v>142</v>
      </c>
      <c r="AF59" s="55" t="s">
        <v>146</v>
      </c>
      <c r="AG59" s="55" t="s">
        <v>788</v>
      </c>
      <c r="AH59" s="55">
        <v>2</v>
      </c>
      <c r="AI59" s="55">
        <v>100</v>
      </c>
      <c r="AJ59" s="713">
        <f>SUM(Sheet_1_Table_1_134[[#This Row],[ILP Units Per Session]]*Sheet_1_Table_1_134[[#This Row],[Quota]])</f>
        <v>200</v>
      </c>
      <c r="AK59" s="760">
        <v>46309</v>
      </c>
      <c r="AL59" s="64">
        <f>WEEKDAY(Sheet_1_Table_1_134[[#This Row],[Lesson 1 
Date 
(DD-MMM-YYYY)]])</f>
        <v>4</v>
      </c>
      <c r="AM59" s="552">
        <v>0.625</v>
      </c>
      <c r="AN59" s="553">
        <v>0.70833333333333337</v>
      </c>
      <c r="AO59" s="707" t="s">
        <v>789</v>
      </c>
      <c r="AP59" s="555"/>
      <c r="AQ59" s="64" t="e">
        <f>WEEKDAY([2]!Sheet_1_Table_1_13[[#This Row],[Lesson 2
Date 
(DD-MMM-YYYY)]])</f>
        <v>#REF!</v>
      </c>
      <c r="AR59" s="65"/>
      <c r="AS59" s="66"/>
      <c r="AT59" s="126"/>
      <c r="AU59" s="63"/>
      <c r="AV59" s="64" t="e">
        <f>WEEKDAY([2]!Sheet_1_Table_1_13[[#This Row],[Lesson 3
Date 
(DD-MMM-YYYY)]])</f>
        <v>#REF!</v>
      </c>
      <c r="AW59" s="65"/>
      <c r="AX59" s="66"/>
      <c r="AY59" s="126"/>
      <c r="AZ59" s="98"/>
      <c r="BA59" s="64" t="e">
        <f>WEEKDAY([2]!Sheet_1_Table_1_13[[#This Row],[Lesson 4
Date 
(DD-MMM-YYYY)]])</f>
        <v>#REF!</v>
      </c>
      <c r="BB59" s="65"/>
      <c r="BC59" s="66"/>
      <c r="BD59" s="126"/>
      <c r="BE59" s="63"/>
      <c r="BF59" s="64" t="e">
        <f>WEEKDAY([2]!Sheet_1_Table_1_13[[#This Row],[Lesson 5
Date 
(DD-MMM-YYYY)]])</f>
        <v>#REF!</v>
      </c>
      <c r="BG59" s="65"/>
      <c r="BH59" s="66"/>
      <c r="BI59" s="126"/>
      <c r="BJ59" s="98"/>
      <c r="BK59" s="64" t="e">
        <f>WEEKDAY([2]!Sheet_1_Table_1_13[[#This Row],[Lesson 6
Date 
(DD-MMM-YYYY)]])</f>
        <v>#REF!</v>
      </c>
      <c r="BL59" s="65"/>
      <c r="BM59" s="66"/>
      <c r="BN59" s="99"/>
      <c r="BO59" s="54" t="s">
        <v>293</v>
      </c>
      <c r="BP59" s="69" t="s">
        <v>790</v>
      </c>
      <c r="BQ59" s="56" t="s">
        <v>791</v>
      </c>
      <c r="BR59" s="57" t="s">
        <v>792</v>
      </c>
      <c r="BS59" s="54"/>
      <c r="BT59" s="56"/>
      <c r="BU59" s="56"/>
      <c r="BV59" s="57"/>
      <c r="BW59" s="60">
        <v>0</v>
      </c>
      <c r="BX59" s="187"/>
      <c r="BY59" s="56" t="s">
        <v>184</v>
      </c>
      <c r="BZ59" s="56"/>
      <c r="CA59" s="56" t="s">
        <v>184</v>
      </c>
      <c r="CB59" s="72"/>
      <c r="CC59" s="72"/>
      <c r="CD59" s="72"/>
      <c r="CE59" s="734" t="s">
        <v>793</v>
      </c>
      <c r="CF59" s="507" t="s">
        <v>794</v>
      </c>
      <c r="CG59" s="736" t="s">
        <v>795</v>
      </c>
      <c r="CH59" s="603" t="s">
        <v>796</v>
      </c>
      <c r="CI59" s="55" t="s">
        <v>146</v>
      </c>
      <c r="CJ59" s="55" t="s">
        <v>142</v>
      </c>
      <c r="CK59" s="55" t="s">
        <v>142</v>
      </c>
      <c r="CL59" s="55" t="s">
        <v>142</v>
      </c>
      <c r="CM59" s="55" t="s">
        <v>146</v>
      </c>
      <c r="CN59" s="55" t="s">
        <v>142</v>
      </c>
      <c r="CO59" s="55" t="s">
        <v>142</v>
      </c>
      <c r="CP59" s="55" t="s">
        <v>142</v>
      </c>
      <c r="CQ59" s="55" t="s">
        <v>142</v>
      </c>
      <c r="CR59" s="55" t="s">
        <v>142</v>
      </c>
      <c r="CS59" s="55" t="s">
        <v>142</v>
      </c>
      <c r="CT59" s="55" t="s">
        <v>142</v>
      </c>
      <c r="CU59" s="55" t="s">
        <v>142</v>
      </c>
      <c r="CV59" s="55" t="s">
        <v>142</v>
      </c>
      <c r="CW59" s="55" t="s">
        <v>142</v>
      </c>
      <c r="CX59" s="55" t="s">
        <v>142</v>
      </c>
      <c r="CY59" s="55" t="s">
        <v>142</v>
      </c>
      <c r="CZ59" s="96" t="s">
        <v>142</v>
      </c>
      <c r="DA59" s="54" t="s">
        <v>154</v>
      </c>
      <c r="DB59" s="50" t="s">
        <v>155</v>
      </c>
      <c r="DC59" s="50" t="s">
        <v>156</v>
      </c>
      <c r="DD59" s="50" t="s">
        <v>146</v>
      </c>
      <c r="DE59" s="50" t="s">
        <v>157</v>
      </c>
      <c r="DF59" s="50" t="s">
        <v>146</v>
      </c>
      <c r="DG59" s="73"/>
      <c r="DH59" s="73"/>
      <c r="DI59" s="73"/>
      <c r="DJ59" s="73"/>
      <c r="DK59" s="76" t="s">
        <v>146</v>
      </c>
      <c r="DL59" s="76" t="s">
        <v>146</v>
      </c>
      <c r="DM59" s="76" t="s">
        <v>146</v>
      </c>
      <c r="DN59" s="790"/>
    </row>
    <row r="60" spans="1:156" ht="255">
      <c r="A60" s="8">
        <v>58</v>
      </c>
      <c r="B60" s="49">
        <v>202609</v>
      </c>
      <c r="C60" s="50" t="s">
        <v>797</v>
      </c>
      <c r="D60" s="50" t="s">
        <v>174</v>
      </c>
      <c r="E60" s="51">
        <v>5797</v>
      </c>
      <c r="F60" s="54" t="s">
        <v>772</v>
      </c>
      <c r="G60" s="53"/>
      <c r="H60" s="95"/>
      <c r="I60" s="84"/>
      <c r="J60" s="60" t="s">
        <v>798</v>
      </c>
      <c r="K60" s="54" t="s">
        <v>799</v>
      </c>
      <c r="L60" s="53"/>
      <c r="M60" s="56" t="s">
        <v>800</v>
      </c>
      <c r="N60" s="57" t="s">
        <v>801</v>
      </c>
      <c r="O60" s="222" t="s">
        <v>146</v>
      </c>
      <c r="P60" s="96" t="s">
        <v>146</v>
      </c>
      <c r="Q60" s="60" t="s">
        <v>434</v>
      </c>
      <c r="R60" s="626" t="s">
        <v>661</v>
      </c>
      <c r="S60" s="55">
        <v>50</v>
      </c>
      <c r="T60" s="55">
        <v>0</v>
      </c>
      <c r="U60" s="55">
        <v>0</v>
      </c>
      <c r="V60" s="55">
        <v>0</v>
      </c>
      <c r="W60" s="55">
        <v>0</v>
      </c>
      <c r="X60" s="55">
        <v>50</v>
      </c>
      <c r="Y60" s="55">
        <v>0</v>
      </c>
      <c r="Z60" s="55">
        <v>0</v>
      </c>
      <c r="AA60" s="55">
        <v>0</v>
      </c>
      <c r="AB60" s="609">
        <v>100</v>
      </c>
      <c r="AC60" s="97" t="s">
        <v>144</v>
      </c>
      <c r="AD60" s="55" t="s">
        <v>190</v>
      </c>
      <c r="AE60" s="55" t="s">
        <v>142</v>
      </c>
      <c r="AF60" s="55" t="s">
        <v>146</v>
      </c>
      <c r="AG60" s="55" t="s">
        <v>142</v>
      </c>
      <c r="AH60" s="55">
        <v>2</v>
      </c>
      <c r="AI60" s="55">
        <v>100</v>
      </c>
      <c r="AJ60" s="713">
        <f>SUM(Sheet_1_Table_1_134[[#This Row],[ILP Units Per Session]]*Sheet_1_Table_1_134[[#This Row],[Quota]])</f>
        <v>200</v>
      </c>
      <c r="AK60" s="760">
        <v>46323</v>
      </c>
      <c r="AL60" s="64">
        <f>WEEKDAY(Sheet_1_Table_1_134[[#This Row],[Lesson 1 
Date 
(DD-MMM-YYYY)]])</f>
        <v>4</v>
      </c>
      <c r="AM60" s="552">
        <v>0.625</v>
      </c>
      <c r="AN60" s="553">
        <v>0.70833333333333337</v>
      </c>
      <c r="AO60" s="707" t="s">
        <v>789</v>
      </c>
      <c r="AP60" s="555"/>
      <c r="AQ60" s="64" t="e">
        <f>WEEKDAY([2]!Sheet_1_Table_1_13[[#This Row],[Lesson 2
Date 
(DD-MMM-YYYY)]])</f>
        <v>#REF!</v>
      </c>
      <c r="AR60" s="65"/>
      <c r="AS60" s="66"/>
      <c r="AT60" s="126"/>
      <c r="AU60" s="63"/>
      <c r="AV60" s="64" t="e">
        <f>WEEKDAY([2]!Sheet_1_Table_1_13[[#This Row],[Lesson 3
Date 
(DD-MMM-YYYY)]])</f>
        <v>#REF!</v>
      </c>
      <c r="AW60" s="65"/>
      <c r="AX60" s="66"/>
      <c r="AY60" s="126"/>
      <c r="AZ60" s="98"/>
      <c r="BA60" s="64" t="e">
        <f>WEEKDAY([2]!Sheet_1_Table_1_13[[#This Row],[Lesson 4
Date 
(DD-MMM-YYYY)]])</f>
        <v>#REF!</v>
      </c>
      <c r="BB60" s="65"/>
      <c r="BC60" s="66"/>
      <c r="BD60" s="126"/>
      <c r="BE60" s="63"/>
      <c r="BF60" s="64" t="e">
        <f>WEEKDAY([2]!Sheet_1_Table_1_13[[#This Row],[Lesson 5
Date 
(DD-MMM-YYYY)]])</f>
        <v>#REF!</v>
      </c>
      <c r="BG60" s="65"/>
      <c r="BH60" s="66"/>
      <c r="BI60" s="126"/>
      <c r="BJ60" s="98"/>
      <c r="BK60" s="64" t="e">
        <f>WEEKDAY([2]!Sheet_1_Table_1_13[[#This Row],[Lesson 6
Date 
(DD-MMM-YYYY)]])</f>
        <v>#REF!</v>
      </c>
      <c r="BL60" s="65"/>
      <c r="BM60" s="66"/>
      <c r="BN60" s="99"/>
      <c r="BO60" s="54" t="s">
        <v>293</v>
      </c>
      <c r="BP60" s="69" t="s">
        <v>790</v>
      </c>
      <c r="BQ60" s="56" t="s">
        <v>791</v>
      </c>
      <c r="BR60" s="57" t="s">
        <v>792</v>
      </c>
      <c r="BS60" s="54"/>
      <c r="BT60" s="56"/>
      <c r="BU60" s="56"/>
      <c r="BV60" s="57"/>
      <c r="BW60" s="60">
        <v>0</v>
      </c>
      <c r="BX60" s="187"/>
      <c r="BY60" s="56"/>
      <c r="BZ60" s="56"/>
      <c r="CA60" s="56"/>
      <c r="CB60" s="72"/>
      <c r="CC60" s="72"/>
      <c r="CD60" s="72"/>
      <c r="CE60" s="734" t="s">
        <v>793</v>
      </c>
      <c r="CF60" s="507" t="s">
        <v>794</v>
      </c>
      <c r="CG60" s="736" t="s">
        <v>795</v>
      </c>
      <c r="CH60" s="603" t="s">
        <v>796</v>
      </c>
      <c r="CI60" s="55" t="s">
        <v>146</v>
      </c>
      <c r="CJ60" s="55" t="s">
        <v>142</v>
      </c>
      <c r="CK60" s="55" t="s">
        <v>142</v>
      </c>
      <c r="CL60" s="55" t="s">
        <v>142</v>
      </c>
      <c r="CM60" s="55" t="s">
        <v>146</v>
      </c>
      <c r="CN60" s="55" t="s">
        <v>142</v>
      </c>
      <c r="CO60" s="55" t="s">
        <v>142</v>
      </c>
      <c r="CP60" s="55" t="s">
        <v>142</v>
      </c>
      <c r="CQ60" s="55" t="s">
        <v>142</v>
      </c>
      <c r="CR60" s="55" t="s">
        <v>142</v>
      </c>
      <c r="CS60" s="55" t="s">
        <v>142</v>
      </c>
      <c r="CT60" s="55" t="s">
        <v>142</v>
      </c>
      <c r="CU60" s="55" t="s">
        <v>142</v>
      </c>
      <c r="CV60" s="55" t="s">
        <v>142</v>
      </c>
      <c r="CW60" s="55" t="s">
        <v>142</v>
      </c>
      <c r="CX60" s="55" t="s">
        <v>142</v>
      </c>
      <c r="CY60" s="55" t="s">
        <v>142</v>
      </c>
      <c r="CZ60" s="96" t="s">
        <v>142</v>
      </c>
      <c r="DA60" s="54" t="s">
        <v>154</v>
      </c>
      <c r="DB60" s="50" t="s">
        <v>155</v>
      </c>
      <c r="DC60" s="50" t="s">
        <v>156</v>
      </c>
      <c r="DD60" s="50" t="s">
        <v>146</v>
      </c>
      <c r="DE60" s="50" t="s">
        <v>157</v>
      </c>
      <c r="DF60" s="50" t="s">
        <v>146</v>
      </c>
      <c r="DG60" s="73"/>
      <c r="DH60" s="73"/>
      <c r="DI60" s="73"/>
      <c r="DJ60" s="73"/>
      <c r="DK60" s="76" t="s">
        <v>146</v>
      </c>
      <c r="DL60" s="76" t="s">
        <v>146</v>
      </c>
      <c r="DM60" s="76" t="s">
        <v>146</v>
      </c>
      <c r="DN60" s="790"/>
    </row>
    <row r="61" spans="1:156" ht="255">
      <c r="A61" s="8">
        <v>59</v>
      </c>
      <c r="B61" s="579">
        <v>202609</v>
      </c>
      <c r="C61" s="577" t="s">
        <v>797</v>
      </c>
      <c r="D61" s="577" t="s">
        <v>205</v>
      </c>
      <c r="E61" s="581">
        <v>5798</v>
      </c>
      <c r="F61" s="576" t="s">
        <v>802</v>
      </c>
      <c r="G61" s="595"/>
      <c r="H61" s="297"/>
      <c r="I61" s="301"/>
      <c r="J61" s="558" t="s">
        <v>798</v>
      </c>
      <c r="K61" s="576" t="s">
        <v>803</v>
      </c>
      <c r="L61" s="595"/>
      <c r="M61" s="560" t="s">
        <v>804</v>
      </c>
      <c r="N61" s="298" t="s">
        <v>801</v>
      </c>
      <c r="O61" s="625" t="s">
        <v>146</v>
      </c>
      <c r="P61" s="575" t="s">
        <v>146</v>
      </c>
      <c r="Q61" s="558" t="s">
        <v>434</v>
      </c>
      <c r="R61" s="626" t="s">
        <v>661</v>
      </c>
      <c r="S61" s="562">
        <v>50</v>
      </c>
      <c r="T61" s="562">
        <v>0</v>
      </c>
      <c r="U61" s="562">
        <v>0</v>
      </c>
      <c r="V61" s="562">
        <v>0</v>
      </c>
      <c r="W61" s="562">
        <v>0</v>
      </c>
      <c r="X61" s="562">
        <v>50</v>
      </c>
      <c r="Y61" s="562">
        <v>0</v>
      </c>
      <c r="Z61" s="562">
        <v>0</v>
      </c>
      <c r="AA61" s="562">
        <v>0</v>
      </c>
      <c r="AB61" s="609">
        <v>100</v>
      </c>
      <c r="AC61" s="295" t="s">
        <v>144</v>
      </c>
      <c r="AD61" s="562" t="s">
        <v>190</v>
      </c>
      <c r="AE61" s="562" t="s">
        <v>146</v>
      </c>
      <c r="AF61" s="562" t="s">
        <v>142</v>
      </c>
      <c r="AG61" s="562" t="s">
        <v>142</v>
      </c>
      <c r="AH61" s="562">
        <v>2</v>
      </c>
      <c r="AI61" s="562">
        <v>100</v>
      </c>
      <c r="AJ61" s="713">
        <f>SUM(Sheet_1_Table_1_134[[#This Row],[ILP Units Per Session]]*Sheet_1_Table_1_134[[#This Row],[Quota]])</f>
        <v>200</v>
      </c>
      <c r="AK61" s="760">
        <v>46337</v>
      </c>
      <c r="AL61" s="64">
        <f>WEEKDAY(Sheet_1_Table_1_134[[#This Row],[Lesson 1 
Date 
(DD-MMM-YYYY)]])</f>
        <v>4</v>
      </c>
      <c r="AM61" s="761">
        <v>0.625</v>
      </c>
      <c r="AN61" s="611">
        <v>0.70833333333333337</v>
      </c>
      <c r="AO61" s="627" t="s">
        <v>789</v>
      </c>
      <c r="AP61" s="585"/>
      <c r="AQ61" s="586" t="e">
        <f>WEEKDAY([2]!Sheet_1_Table_1_13[[#This Row],[Lesson 2
Date 
(DD-MMM-YYYY)]])</f>
        <v>#REF!</v>
      </c>
      <c r="AR61" s="565"/>
      <c r="AS61" s="583"/>
      <c r="AT61" s="584"/>
      <c r="AU61" s="582"/>
      <c r="AV61" s="586" t="e">
        <f>WEEKDAY([2]!Sheet_1_Table_1_13[[#This Row],[Lesson 3
Date 
(DD-MMM-YYYY)]])</f>
        <v>#REF!</v>
      </c>
      <c r="AW61" s="565"/>
      <c r="AX61" s="583"/>
      <c r="AY61" s="584"/>
      <c r="AZ61" s="587"/>
      <c r="BA61" s="586" t="e">
        <f>WEEKDAY([2]!Sheet_1_Table_1_13[[#This Row],[Lesson 4
Date 
(DD-MMM-YYYY)]])</f>
        <v>#REF!</v>
      </c>
      <c r="BB61" s="565"/>
      <c r="BC61" s="583"/>
      <c r="BD61" s="584"/>
      <c r="BE61" s="582"/>
      <c r="BF61" s="586" t="e">
        <f>WEEKDAY([2]!Sheet_1_Table_1_13[[#This Row],[Lesson 5
Date 
(DD-MMM-YYYY)]])</f>
        <v>#REF!</v>
      </c>
      <c r="BG61" s="565"/>
      <c r="BH61" s="583"/>
      <c r="BI61" s="584"/>
      <c r="BJ61" s="587"/>
      <c r="BK61" s="586" t="e">
        <f>WEEKDAY([2]!Sheet_1_Table_1_13[[#This Row],[Lesson 6
Date 
(DD-MMM-YYYY)]])</f>
        <v>#REF!</v>
      </c>
      <c r="BL61" s="565"/>
      <c r="BM61" s="583"/>
      <c r="BN61" s="588"/>
      <c r="BO61" s="576" t="s">
        <v>293</v>
      </c>
      <c r="BP61" s="559" t="s">
        <v>790</v>
      </c>
      <c r="BQ61" s="560" t="s">
        <v>791</v>
      </c>
      <c r="BR61" s="298" t="s">
        <v>792</v>
      </c>
      <c r="BS61" s="576"/>
      <c r="BT61" s="560"/>
      <c r="BU61" s="560"/>
      <c r="BV61" s="298"/>
      <c r="BW61" s="558">
        <v>0</v>
      </c>
      <c r="BX61" s="615"/>
      <c r="BY61" s="560" t="s">
        <v>184</v>
      </c>
      <c r="BZ61" s="560"/>
      <c r="CA61" s="560" t="s">
        <v>184</v>
      </c>
      <c r="CB61" s="590"/>
      <c r="CC61" s="590"/>
      <c r="CD61" s="590"/>
      <c r="CE61" s="739" t="s">
        <v>793</v>
      </c>
      <c r="CF61" s="572" t="s">
        <v>794</v>
      </c>
      <c r="CG61" s="740" t="s">
        <v>795</v>
      </c>
      <c r="CH61" s="616" t="s">
        <v>796</v>
      </c>
      <c r="CI61" s="562" t="s">
        <v>146</v>
      </c>
      <c r="CJ61" s="562" t="s">
        <v>142</v>
      </c>
      <c r="CK61" s="562" t="s">
        <v>142</v>
      </c>
      <c r="CL61" s="562" t="s">
        <v>142</v>
      </c>
      <c r="CM61" s="562" t="s">
        <v>146</v>
      </c>
      <c r="CN61" s="562" t="s">
        <v>142</v>
      </c>
      <c r="CO61" s="562" t="s">
        <v>142</v>
      </c>
      <c r="CP61" s="562" t="s">
        <v>142</v>
      </c>
      <c r="CQ61" s="562" t="s">
        <v>142</v>
      </c>
      <c r="CR61" s="562" t="s">
        <v>142</v>
      </c>
      <c r="CS61" s="562" t="s">
        <v>142</v>
      </c>
      <c r="CT61" s="562" t="s">
        <v>142</v>
      </c>
      <c r="CU61" s="562" t="s">
        <v>142</v>
      </c>
      <c r="CV61" s="562" t="s">
        <v>142</v>
      </c>
      <c r="CW61" s="562" t="s">
        <v>142</v>
      </c>
      <c r="CX61" s="562" t="s">
        <v>142</v>
      </c>
      <c r="CY61" s="562" t="s">
        <v>142</v>
      </c>
      <c r="CZ61" s="575" t="s">
        <v>142</v>
      </c>
      <c r="DA61" s="576" t="s">
        <v>154</v>
      </c>
      <c r="DB61" s="577" t="s">
        <v>155</v>
      </c>
      <c r="DC61" s="577" t="s">
        <v>156</v>
      </c>
      <c r="DD61" s="577" t="s">
        <v>146</v>
      </c>
      <c r="DE61" s="577" t="s">
        <v>157</v>
      </c>
      <c r="DF61" s="577" t="s">
        <v>146</v>
      </c>
      <c r="DG61" s="578"/>
      <c r="DH61" s="578"/>
      <c r="DI61" s="578"/>
      <c r="DJ61" s="578"/>
      <c r="DK61" s="76" t="s">
        <v>146</v>
      </c>
      <c r="DL61" s="76" t="s">
        <v>146</v>
      </c>
      <c r="DM61" s="76" t="s">
        <v>146</v>
      </c>
      <c r="DN61" s="790"/>
    </row>
    <row r="62" spans="1:156" ht="255">
      <c r="A62" s="8">
        <v>60</v>
      </c>
      <c r="B62" s="579">
        <v>202609</v>
      </c>
      <c r="C62" s="577" t="s">
        <v>805</v>
      </c>
      <c r="D62" s="577" t="s">
        <v>174</v>
      </c>
      <c r="E62" s="581">
        <v>5822</v>
      </c>
      <c r="F62" s="576" t="s">
        <v>303</v>
      </c>
      <c r="G62" s="595"/>
      <c r="H62" s="297"/>
      <c r="I62" s="301"/>
      <c r="J62" s="558" t="s">
        <v>806</v>
      </c>
      <c r="K62" s="576" t="s">
        <v>807</v>
      </c>
      <c r="L62" s="595"/>
      <c r="M62" s="560" t="s">
        <v>808</v>
      </c>
      <c r="N62" s="298" t="s">
        <v>809</v>
      </c>
      <c r="O62" s="625" t="s">
        <v>146</v>
      </c>
      <c r="P62" s="575" t="s">
        <v>146</v>
      </c>
      <c r="Q62" s="558" t="s">
        <v>434</v>
      </c>
      <c r="R62" s="626" t="s">
        <v>661</v>
      </c>
      <c r="S62" s="562">
        <v>0</v>
      </c>
      <c r="T62" s="562">
        <v>0</v>
      </c>
      <c r="U62" s="562">
        <v>0</v>
      </c>
      <c r="V62" s="562">
        <v>0</v>
      </c>
      <c r="W62" s="562">
        <v>0</v>
      </c>
      <c r="X62" s="562">
        <v>0</v>
      </c>
      <c r="Y62" s="562">
        <v>80</v>
      </c>
      <c r="Z62" s="562">
        <v>0</v>
      </c>
      <c r="AA62" s="562">
        <v>20</v>
      </c>
      <c r="AB62" s="609">
        <v>100</v>
      </c>
      <c r="AC62" s="295" t="s">
        <v>199</v>
      </c>
      <c r="AD62" s="562" t="s">
        <v>190</v>
      </c>
      <c r="AE62" s="562" t="s">
        <v>146</v>
      </c>
      <c r="AF62" s="562" t="s">
        <v>146</v>
      </c>
      <c r="AG62" s="562" t="s">
        <v>142</v>
      </c>
      <c r="AH62" s="562">
        <v>1</v>
      </c>
      <c r="AI62" s="562">
        <v>26</v>
      </c>
      <c r="AJ62" s="713">
        <f>SUM(Sheet_1_Table_1_134[[#This Row],[ILP Units Per Session]]*Sheet_1_Table_1_134[[#This Row],[Quota]])</f>
        <v>26</v>
      </c>
      <c r="AK62" s="760">
        <v>46304</v>
      </c>
      <c r="AL62" s="64">
        <f>WEEKDAY(Sheet_1_Table_1_134[[#This Row],[Lesson 1 
Date 
(DD-MMM-YYYY)]])</f>
        <v>6</v>
      </c>
      <c r="AM62" s="761">
        <v>0.625</v>
      </c>
      <c r="AN62" s="611">
        <v>0.66666666666666663</v>
      </c>
      <c r="AO62" s="627" t="s">
        <v>810</v>
      </c>
      <c r="AP62" s="585"/>
      <c r="AQ62" s="586" t="e">
        <f>WEEKDAY([3]!Sheet_1_Table_1_13[[#This Row],[Lesson 2
Date 
(DD-MMM-YYYY)]])</f>
        <v>#REF!</v>
      </c>
      <c r="AR62" s="565"/>
      <c r="AS62" s="583"/>
      <c r="AT62" s="584"/>
      <c r="AU62" s="582"/>
      <c r="AV62" s="586" t="e">
        <f>WEEKDAY([3]!Sheet_1_Table_1_13[[#This Row],[Lesson 3
Date 
(DD-MMM-YYYY)]])</f>
        <v>#REF!</v>
      </c>
      <c r="AW62" s="565"/>
      <c r="AX62" s="583"/>
      <c r="AY62" s="584"/>
      <c r="AZ62" s="587"/>
      <c r="BA62" s="586" t="e">
        <f>WEEKDAY([3]!Sheet_1_Table_1_13[[#This Row],[Lesson 4
Date 
(DD-MMM-YYYY)]])</f>
        <v>#REF!</v>
      </c>
      <c r="BB62" s="565"/>
      <c r="BC62" s="583"/>
      <c r="BD62" s="584"/>
      <c r="BE62" s="582"/>
      <c r="BF62" s="586" t="e">
        <f>WEEKDAY([3]!Sheet_1_Table_1_13[[#This Row],[Lesson 5
Date 
(DD-MMM-YYYY)]])</f>
        <v>#REF!</v>
      </c>
      <c r="BG62" s="565"/>
      <c r="BH62" s="583"/>
      <c r="BI62" s="584"/>
      <c r="BJ62" s="587"/>
      <c r="BK62" s="586" t="e">
        <f>WEEKDAY([3]!Sheet_1_Table_1_13[[#This Row],[Lesson 6
Date 
(DD-MMM-YYYY)]])</f>
        <v>#REF!</v>
      </c>
      <c r="BL62" s="565"/>
      <c r="BM62" s="583"/>
      <c r="BN62" s="588"/>
      <c r="BO62" s="576"/>
      <c r="BP62" s="559" t="s">
        <v>811</v>
      </c>
      <c r="BQ62" s="560"/>
      <c r="BR62" s="298"/>
      <c r="BS62" s="576"/>
      <c r="BT62" s="560"/>
      <c r="BU62" s="560"/>
      <c r="BV62" s="298"/>
      <c r="BW62" s="558">
        <v>0</v>
      </c>
      <c r="BX62" s="615">
        <v>100</v>
      </c>
      <c r="BY62" s="745">
        <v>0.59722222222222221</v>
      </c>
      <c r="BZ62" s="560" t="s">
        <v>312</v>
      </c>
      <c r="CA62" s="560" t="s">
        <v>149</v>
      </c>
      <c r="CB62" s="590"/>
      <c r="CC62" s="590"/>
      <c r="CD62" s="590"/>
      <c r="CE62" s="558" t="s">
        <v>313</v>
      </c>
      <c r="CF62" s="572" t="s">
        <v>314</v>
      </c>
      <c r="CG62" s="560"/>
      <c r="CH62" s="298"/>
      <c r="CI62" s="562" t="s">
        <v>146</v>
      </c>
      <c r="CJ62" s="562" t="s">
        <v>142</v>
      </c>
      <c r="CK62" s="562" t="s">
        <v>142</v>
      </c>
      <c r="CL62" s="562" t="s">
        <v>142</v>
      </c>
      <c r="CM62" s="562" t="s">
        <v>146</v>
      </c>
      <c r="CN62" s="562" t="s">
        <v>142</v>
      </c>
      <c r="CO62" s="562" t="s">
        <v>142</v>
      </c>
      <c r="CP62" s="562" t="s">
        <v>142</v>
      </c>
      <c r="CQ62" s="562" t="s">
        <v>142</v>
      </c>
      <c r="CR62" s="562" t="s">
        <v>142</v>
      </c>
      <c r="CS62" s="562" t="s">
        <v>142</v>
      </c>
      <c r="CT62" s="562" t="s">
        <v>142</v>
      </c>
      <c r="CU62" s="562" t="s">
        <v>142</v>
      </c>
      <c r="CV62" s="562" t="s">
        <v>142</v>
      </c>
      <c r="CW62" s="562" t="s">
        <v>146</v>
      </c>
      <c r="CX62" s="562" t="s">
        <v>146</v>
      </c>
      <c r="CY62" s="562" t="s">
        <v>142</v>
      </c>
      <c r="CZ62" s="575" t="s">
        <v>142</v>
      </c>
      <c r="DA62" s="576" t="s">
        <v>154</v>
      </c>
      <c r="DB62" s="577" t="s">
        <v>155</v>
      </c>
      <c r="DC62" s="577" t="s">
        <v>156</v>
      </c>
      <c r="DD62" s="577" t="s">
        <v>146</v>
      </c>
      <c r="DE62" s="577" t="s">
        <v>157</v>
      </c>
      <c r="DF62" s="577" t="s">
        <v>146</v>
      </c>
      <c r="DG62" s="578"/>
      <c r="DH62" s="578"/>
      <c r="DI62" s="578"/>
      <c r="DJ62" s="578"/>
      <c r="DK62" s="76" t="s">
        <v>146</v>
      </c>
      <c r="DL62" s="76" t="s">
        <v>146</v>
      </c>
      <c r="DM62" s="76" t="s">
        <v>146</v>
      </c>
      <c r="DN62" s="790"/>
    </row>
    <row r="63" spans="1:156" ht="105">
      <c r="A63" s="8">
        <v>61</v>
      </c>
      <c r="B63" s="49">
        <v>202609</v>
      </c>
      <c r="C63" s="50" t="s">
        <v>812</v>
      </c>
      <c r="D63" s="50" t="s">
        <v>133</v>
      </c>
      <c r="E63" s="51">
        <v>5802</v>
      </c>
      <c r="F63" s="54" t="s">
        <v>813</v>
      </c>
      <c r="G63" s="53"/>
      <c r="H63" s="95"/>
      <c r="I63" s="84"/>
      <c r="J63" s="60"/>
      <c r="K63" s="54" t="s">
        <v>814</v>
      </c>
      <c r="L63" s="53"/>
      <c r="M63" s="56" t="s">
        <v>815</v>
      </c>
      <c r="N63" s="57" t="s">
        <v>816</v>
      </c>
      <c r="O63" s="222" t="s">
        <v>142</v>
      </c>
      <c r="P63" s="96" t="s">
        <v>142</v>
      </c>
      <c r="Q63" s="60" t="s">
        <v>434</v>
      </c>
      <c r="R63" s="626" t="s">
        <v>661</v>
      </c>
      <c r="S63" s="55">
        <v>0</v>
      </c>
      <c r="T63" s="55">
        <v>0</v>
      </c>
      <c r="U63" s="55">
        <v>0</v>
      </c>
      <c r="V63" s="55">
        <v>0</v>
      </c>
      <c r="W63" s="55">
        <v>0</v>
      </c>
      <c r="X63" s="55">
        <v>0</v>
      </c>
      <c r="Y63" s="55">
        <v>0</v>
      </c>
      <c r="Z63" s="55">
        <v>100</v>
      </c>
      <c r="AA63" s="55">
        <v>0</v>
      </c>
      <c r="AB63" s="609">
        <v>100</v>
      </c>
      <c r="AC63" s="720" t="s">
        <v>199</v>
      </c>
      <c r="AD63" s="712" t="s">
        <v>190</v>
      </c>
      <c r="AE63" s="55" t="s">
        <v>146</v>
      </c>
      <c r="AF63" s="55" t="s">
        <v>142</v>
      </c>
      <c r="AG63" s="55" t="s">
        <v>142</v>
      </c>
      <c r="AH63" s="55">
        <v>1</v>
      </c>
      <c r="AI63" s="55">
        <v>100</v>
      </c>
      <c r="AJ63" s="713">
        <f>SUM(Sheet_1_Table_1_134[[#This Row],[ILP Units Per Session]]*Sheet_1_Table_1_134[[#This Row],[Quota]])</f>
        <v>100</v>
      </c>
      <c r="AK63" s="760">
        <v>46286</v>
      </c>
      <c r="AL63" s="64">
        <f>WEEKDAY(Sheet_1_Table_1_134[[#This Row],[Lesson 1 
Date 
(DD-MMM-YYYY)]])</f>
        <v>2</v>
      </c>
      <c r="AM63" s="552">
        <v>0.60416666666666663</v>
      </c>
      <c r="AN63" s="553">
        <v>0.64583333333333337</v>
      </c>
      <c r="AO63" s="725" t="s">
        <v>817</v>
      </c>
      <c r="AP63" s="555"/>
      <c r="AQ63" s="64" t="e">
        <f>WEEKDAY([4]!Sheet_1_Table_1_13[[#This Row],[Lesson 2
Date 
(DD-MMM-YYYY)]])</f>
        <v>#REF!</v>
      </c>
      <c r="AR63" s="65"/>
      <c r="AS63" s="66"/>
      <c r="AT63" s="126"/>
      <c r="AU63" s="63"/>
      <c r="AV63" s="64" t="e">
        <f>WEEKDAY([4]!Sheet_1_Table_1_13[[#This Row],[Lesson 3
Date 
(DD-MMM-YYYY)]])</f>
        <v>#REF!</v>
      </c>
      <c r="AW63" s="65"/>
      <c r="AX63" s="66"/>
      <c r="AY63" s="126"/>
      <c r="AZ63" s="98"/>
      <c r="BA63" s="64" t="e">
        <f>WEEKDAY([4]!Sheet_1_Table_1_13[[#This Row],[Lesson 4
Date 
(DD-MMM-YYYY)]])</f>
        <v>#REF!</v>
      </c>
      <c r="BB63" s="65"/>
      <c r="BC63" s="66"/>
      <c r="BD63" s="126"/>
      <c r="BE63" s="63"/>
      <c r="BF63" s="64" t="e">
        <f>WEEKDAY([4]!Sheet_1_Table_1_13[[#This Row],[Lesson 5
Date 
(DD-MMM-YYYY)]])</f>
        <v>#REF!</v>
      </c>
      <c r="BG63" s="65"/>
      <c r="BH63" s="66"/>
      <c r="BI63" s="126"/>
      <c r="BJ63" s="98"/>
      <c r="BK63" s="64" t="e">
        <f>WEEKDAY([4]!Sheet_1_Table_1_13[[#This Row],[Lesson 6
Date 
(DD-MMM-YYYY)]])</f>
        <v>#REF!</v>
      </c>
      <c r="BL63" s="65"/>
      <c r="BM63" s="66"/>
      <c r="BN63" s="99"/>
      <c r="BO63" s="717" t="s">
        <v>818</v>
      </c>
      <c r="BP63" s="731" t="s">
        <v>819</v>
      </c>
      <c r="BQ63" s="721" t="s">
        <v>820</v>
      </c>
      <c r="BR63" s="125" t="s">
        <v>821</v>
      </c>
      <c r="BS63" s="54"/>
      <c r="BT63" s="56"/>
      <c r="BU63" s="56"/>
      <c r="BV63" s="57"/>
      <c r="BW63" s="60"/>
      <c r="BX63" s="187"/>
      <c r="BY63" s="56" t="s">
        <v>149</v>
      </c>
      <c r="BZ63" s="56"/>
      <c r="CA63" s="56" t="s">
        <v>149</v>
      </c>
      <c r="CB63" s="72"/>
      <c r="CC63" s="72"/>
      <c r="CD63" s="72"/>
      <c r="CE63" s="716" t="s">
        <v>822</v>
      </c>
      <c r="CF63" s="507" t="s">
        <v>823</v>
      </c>
      <c r="CG63" s="721" t="s">
        <v>824</v>
      </c>
      <c r="CH63" s="603" t="s">
        <v>825</v>
      </c>
      <c r="CI63" s="55" t="s">
        <v>142</v>
      </c>
      <c r="CJ63" s="55" t="s">
        <v>142</v>
      </c>
      <c r="CK63" s="55" t="s">
        <v>142</v>
      </c>
      <c r="CL63" s="55" t="s">
        <v>142</v>
      </c>
      <c r="CM63" s="55" t="s">
        <v>142</v>
      </c>
      <c r="CN63" s="55" t="s">
        <v>142</v>
      </c>
      <c r="CO63" s="55" t="s">
        <v>142</v>
      </c>
      <c r="CP63" s="55" t="s">
        <v>142</v>
      </c>
      <c r="CQ63" s="55" t="s">
        <v>142</v>
      </c>
      <c r="CR63" s="55" t="s">
        <v>142</v>
      </c>
      <c r="CS63" s="55" t="s">
        <v>142</v>
      </c>
      <c r="CT63" s="55" t="s">
        <v>142</v>
      </c>
      <c r="CU63" s="55" t="s">
        <v>142</v>
      </c>
      <c r="CV63" s="55" t="s">
        <v>142</v>
      </c>
      <c r="CW63" s="55" t="s">
        <v>142</v>
      </c>
      <c r="CX63" s="55" t="s">
        <v>142</v>
      </c>
      <c r="CY63" s="55" t="s">
        <v>142</v>
      </c>
      <c r="CZ63" s="96" t="s">
        <v>142</v>
      </c>
      <c r="DA63" s="54" t="s">
        <v>154</v>
      </c>
      <c r="DB63" s="50" t="s">
        <v>155</v>
      </c>
      <c r="DC63" s="50" t="s">
        <v>156</v>
      </c>
      <c r="DD63" s="50" t="s">
        <v>146</v>
      </c>
      <c r="DE63" s="50" t="s">
        <v>157</v>
      </c>
      <c r="DF63" s="50" t="s">
        <v>146</v>
      </c>
      <c r="DG63" s="73"/>
      <c r="DH63" s="73"/>
      <c r="DI63" s="73"/>
      <c r="DJ63" s="73"/>
      <c r="DK63" s="76" t="s">
        <v>146</v>
      </c>
      <c r="DL63" s="76" t="s">
        <v>146</v>
      </c>
      <c r="DM63" s="76" t="s">
        <v>146</v>
      </c>
      <c r="DN63" s="790"/>
    </row>
    <row r="64" spans="1:156" ht="150">
      <c r="A64" s="8">
        <v>62</v>
      </c>
      <c r="B64" s="49">
        <v>202609</v>
      </c>
      <c r="C64" s="50" t="s">
        <v>826</v>
      </c>
      <c r="D64" s="50" t="s">
        <v>133</v>
      </c>
      <c r="E64" s="51">
        <v>5803</v>
      </c>
      <c r="F64" s="54" t="s">
        <v>813</v>
      </c>
      <c r="G64" s="53"/>
      <c r="H64" s="95"/>
      <c r="I64" s="84"/>
      <c r="J64" s="60"/>
      <c r="K64" s="54" t="s">
        <v>827</v>
      </c>
      <c r="L64" s="53"/>
      <c r="M64" s="56" t="s">
        <v>828</v>
      </c>
      <c r="N64" s="57" t="s">
        <v>829</v>
      </c>
      <c r="O64" s="222" t="s">
        <v>142</v>
      </c>
      <c r="P64" s="96" t="s">
        <v>142</v>
      </c>
      <c r="Q64" s="60" t="s">
        <v>434</v>
      </c>
      <c r="R64" s="626" t="s">
        <v>661</v>
      </c>
      <c r="S64" s="55">
        <v>0</v>
      </c>
      <c r="T64" s="55">
        <v>0</v>
      </c>
      <c r="U64" s="55">
        <v>0</v>
      </c>
      <c r="V64" s="55">
        <v>0</v>
      </c>
      <c r="W64" s="55">
        <v>0</v>
      </c>
      <c r="X64" s="55">
        <v>0</v>
      </c>
      <c r="Y64" s="55">
        <v>0</v>
      </c>
      <c r="Z64" s="55">
        <v>100</v>
      </c>
      <c r="AA64" s="55">
        <v>0</v>
      </c>
      <c r="AB64" s="609">
        <v>100</v>
      </c>
      <c r="AC64" s="720" t="s">
        <v>199</v>
      </c>
      <c r="AD64" s="712" t="s">
        <v>190</v>
      </c>
      <c r="AE64" s="55" t="s">
        <v>146</v>
      </c>
      <c r="AF64" s="55" t="s">
        <v>142</v>
      </c>
      <c r="AG64" s="55" t="s">
        <v>142</v>
      </c>
      <c r="AH64" s="55">
        <v>1</v>
      </c>
      <c r="AI64" s="55">
        <v>100</v>
      </c>
      <c r="AJ64" s="713">
        <f>SUM(Sheet_1_Table_1_134[[#This Row],[ILP Units Per Session]]*Sheet_1_Table_1_134[[#This Row],[Quota]])</f>
        <v>100</v>
      </c>
      <c r="AK64" s="760">
        <v>46294</v>
      </c>
      <c r="AL64" s="64">
        <f>WEEKDAY(Sheet_1_Table_1_134[[#This Row],[Lesson 1 
Date 
(DD-MMM-YYYY)]])</f>
        <v>3</v>
      </c>
      <c r="AM64" s="552">
        <v>0.625</v>
      </c>
      <c r="AN64" s="553">
        <v>0.66666666666666663</v>
      </c>
      <c r="AO64" s="725" t="s">
        <v>817</v>
      </c>
      <c r="AP64" s="555"/>
      <c r="AQ64" s="64" t="e">
        <f>WEEKDAY([4]!Sheet_1_Table_1_13[[#This Row],[Lesson 2
Date 
(DD-MMM-YYYY)]])</f>
        <v>#REF!</v>
      </c>
      <c r="AR64" s="65"/>
      <c r="AS64" s="66"/>
      <c r="AT64" s="126"/>
      <c r="AU64" s="63"/>
      <c r="AV64" s="64" t="e">
        <f>WEEKDAY([4]!Sheet_1_Table_1_13[[#This Row],[Lesson 3
Date 
(DD-MMM-YYYY)]])</f>
        <v>#REF!</v>
      </c>
      <c r="AW64" s="65"/>
      <c r="AX64" s="66"/>
      <c r="AY64" s="126"/>
      <c r="AZ64" s="98"/>
      <c r="BA64" s="64" t="e">
        <f>WEEKDAY([4]!Sheet_1_Table_1_13[[#This Row],[Lesson 4
Date 
(DD-MMM-YYYY)]])</f>
        <v>#REF!</v>
      </c>
      <c r="BB64" s="65"/>
      <c r="BC64" s="66"/>
      <c r="BD64" s="126"/>
      <c r="BE64" s="63"/>
      <c r="BF64" s="64" t="e">
        <f>WEEKDAY([4]!Sheet_1_Table_1_13[[#This Row],[Lesson 5
Date 
(DD-MMM-YYYY)]])</f>
        <v>#REF!</v>
      </c>
      <c r="BG64" s="65"/>
      <c r="BH64" s="66"/>
      <c r="BI64" s="126"/>
      <c r="BJ64" s="98"/>
      <c r="BK64" s="64" t="e">
        <f>WEEKDAY([4]!Sheet_1_Table_1_13[[#This Row],[Lesson 6
Date 
(DD-MMM-YYYY)]])</f>
        <v>#REF!</v>
      </c>
      <c r="BL64" s="65"/>
      <c r="BM64" s="66"/>
      <c r="BN64" s="99"/>
      <c r="BO64" s="717" t="s">
        <v>818</v>
      </c>
      <c r="BP64" s="69" t="s">
        <v>830</v>
      </c>
      <c r="BQ64" s="56" t="s">
        <v>831</v>
      </c>
      <c r="BR64" s="57" t="s">
        <v>832</v>
      </c>
      <c r="BS64" s="54"/>
      <c r="BT64" s="56"/>
      <c r="BU64" s="56"/>
      <c r="BV64" s="57"/>
      <c r="BW64" s="60"/>
      <c r="BX64" s="187"/>
      <c r="BY64" s="56" t="s">
        <v>149</v>
      </c>
      <c r="BZ64" s="56"/>
      <c r="CA64" s="56" t="s">
        <v>149</v>
      </c>
      <c r="CB64" s="72"/>
      <c r="CC64" s="72"/>
      <c r="CD64" s="72"/>
      <c r="CE64" s="716" t="s">
        <v>822</v>
      </c>
      <c r="CF64" s="507" t="s">
        <v>823</v>
      </c>
      <c r="CG64" s="721" t="s">
        <v>824</v>
      </c>
      <c r="CH64" s="603" t="s">
        <v>825</v>
      </c>
      <c r="CI64" s="55" t="s">
        <v>142</v>
      </c>
      <c r="CJ64" s="55" t="s">
        <v>142</v>
      </c>
      <c r="CK64" s="55" t="s">
        <v>142</v>
      </c>
      <c r="CL64" s="55" t="s">
        <v>142</v>
      </c>
      <c r="CM64" s="55" t="s">
        <v>142</v>
      </c>
      <c r="CN64" s="55" t="s">
        <v>142</v>
      </c>
      <c r="CO64" s="55" t="s">
        <v>142</v>
      </c>
      <c r="CP64" s="55" t="s">
        <v>142</v>
      </c>
      <c r="CQ64" s="55" t="s">
        <v>142</v>
      </c>
      <c r="CR64" s="55" t="s">
        <v>142</v>
      </c>
      <c r="CS64" s="55" t="s">
        <v>142</v>
      </c>
      <c r="CT64" s="55" t="s">
        <v>142</v>
      </c>
      <c r="CU64" s="55" t="s">
        <v>142</v>
      </c>
      <c r="CV64" s="55" t="s">
        <v>142</v>
      </c>
      <c r="CW64" s="55" t="s">
        <v>142</v>
      </c>
      <c r="CX64" s="55" t="s">
        <v>142</v>
      </c>
      <c r="CY64" s="55" t="s">
        <v>142</v>
      </c>
      <c r="CZ64" s="96" t="s">
        <v>142</v>
      </c>
      <c r="DA64" s="54" t="s">
        <v>154</v>
      </c>
      <c r="DB64" s="50" t="s">
        <v>155</v>
      </c>
      <c r="DC64" s="50" t="s">
        <v>156</v>
      </c>
      <c r="DD64" s="50" t="s">
        <v>146</v>
      </c>
      <c r="DE64" s="50" t="s">
        <v>157</v>
      </c>
      <c r="DF64" s="50" t="s">
        <v>146</v>
      </c>
      <c r="DG64" s="73"/>
      <c r="DH64" s="73"/>
      <c r="DI64" s="73"/>
      <c r="DJ64" s="73"/>
      <c r="DK64" s="76" t="s">
        <v>146</v>
      </c>
      <c r="DL64" s="76" t="s">
        <v>146</v>
      </c>
      <c r="DM64" s="76" t="s">
        <v>146</v>
      </c>
      <c r="DN64" s="790"/>
    </row>
    <row r="65" spans="1:118" ht="105">
      <c r="A65" s="8">
        <v>63</v>
      </c>
      <c r="B65" s="49">
        <v>202609</v>
      </c>
      <c r="C65" s="50" t="s">
        <v>833</v>
      </c>
      <c r="D65" s="50" t="s">
        <v>133</v>
      </c>
      <c r="E65" s="51">
        <v>5804</v>
      </c>
      <c r="F65" s="54" t="s">
        <v>813</v>
      </c>
      <c r="G65" s="53"/>
      <c r="H65" s="95"/>
      <c r="I65" s="84"/>
      <c r="J65" s="60"/>
      <c r="K65" s="54" t="s">
        <v>834</v>
      </c>
      <c r="L65" s="53"/>
      <c r="M65" s="56" t="s">
        <v>835</v>
      </c>
      <c r="N65" s="57" t="s">
        <v>836</v>
      </c>
      <c r="O65" s="222" t="s">
        <v>142</v>
      </c>
      <c r="P65" s="96" t="s">
        <v>142</v>
      </c>
      <c r="Q65" s="60" t="s">
        <v>434</v>
      </c>
      <c r="R65" s="626" t="s">
        <v>661</v>
      </c>
      <c r="S65" s="55">
        <v>0</v>
      </c>
      <c r="T65" s="55">
        <v>0</v>
      </c>
      <c r="U65" s="55">
        <v>0</v>
      </c>
      <c r="V65" s="55">
        <v>0</v>
      </c>
      <c r="W65" s="55">
        <v>0</v>
      </c>
      <c r="X65" s="55">
        <v>0</v>
      </c>
      <c r="Y65" s="55">
        <v>0</v>
      </c>
      <c r="Z65" s="55">
        <v>100</v>
      </c>
      <c r="AA65" s="55">
        <v>0</v>
      </c>
      <c r="AB65" s="609">
        <v>100</v>
      </c>
      <c r="AC65" s="720" t="s">
        <v>199</v>
      </c>
      <c r="AD65" s="712" t="s">
        <v>190</v>
      </c>
      <c r="AE65" s="55" t="s">
        <v>146</v>
      </c>
      <c r="AF65" s="55" t="s">
        <v>142</v>
      </c>
      <c r="AG65" s="55" t="s">
        <v>142</v>
      </c>
      <c r="AH65" s="55">
        <v>1</v>
      </c>
      <c r="AI65" s="55">
        <v>100</v>
      </c>
      <c r="AJ65" s="713">
        <f>SUM(Sheet_1_Table_1_134[[#This Row],[ILP Units Per Session]]*Sheet_1_Table_1_134[[#This Row],[Quota]])</f>
        <v>100</v>
      </c>
      <c r="AK65" s="760">
        <v>46308</v>
      </c>
      <c r="AL65" s="64">
        <f>WEEKDAY(Sheet_1_Table_1_134[[#This Row],[Lesson 1 
Date 
(DD-MMM-YYYY)]])</f>
        <v>3</v>
      </c>
      <c r="AM65" s="552">
        <v>0.66666666666666663</v>
      </c>
      <c r="AN65" s="553">
        <v>0.70833333333333337</v>
      </c>
      <c r="AO65" s="725" t="s">
        <v>817</v>
      </c>
      <c r="AP65" s="555"/>
      <c r="AQ65" s="64" t="e">
        <f>WEEKDAY([4]!Sheet_1_Table_1_13[[#This Row],[Lesson 2
Date 
(DD-MMM-YYYY)]])</f>
        <v>#REF!</v>
      </c>
      <c r="AR65" s="65"/>
      <c r="AS65" s="66"/>
      <c r="AT65" s="126"/>
      <c r="AU65" s="63"/>
      <c r="AV65" s="64" t="e">
        <f>WEEKDAY([4]!Sheet_1_Table_1_13[[#This Row],[Lesson 3
Date 
(DD-MMM-YYYY)]])</f>
        <v>#REF!</v>
      </c>
      <c r="AW65" s="65"/>
      <c r="AX65" s="66"/>
      <c r="AY65" s="126"/>
      <c r="AZ65" s="98"/>
      <c r="BA65" s="64" t="e">
        <f>WEEKDAY([4]!Sheet_1_Table_1_13[[#This Row],[Lesson 4
Date 
(DD-MMM-YYYY)]])</f>
        <v>#REF!</v>
      </c>
      <c r="BB65" s="65"/>
      <c r="BC65" s="66"/>
      <c r="BD65" s="126"/>
      <c r="BE65" s="63"/>
      <c r="BF65" s="64" t="e">
        <f>WEEKDAY([4]!Sheet_1_Table_1_13[[#This Row],[Lesson 5
Date 
(DD-MMM-YYYY)]])</f>
        <v>#REF!</v>
      </c>
      <c r="BG65" s="65"/>
      <c r="BH65" s="66"/>
      <c r="BI65" s="126"/>
      <c r="BJ65" s="98"/>
      <c r="BK65" s="64" t="e">
        <f>WEEKDAY([4]!Sheet_1_Table_1_13[[#This Row],[Lesson 6
Date 
(DD-MMM-YYYY)]])</f>
        <v>#REF!</v>
      </c>
      <c r="BL65" s="65"/>
      <c r="BM65" s="66"/>
      <c r="BN65" s="99"/>
      <c r="BO65" s="717" t="s">
        <v>818</v>
      </c>
      <c r="BP65" s="69" t="s">
        <v>830</v>
      </c>
      <c r="BQ65" s="56" t="s">
        <v>831</v>
      </c>
      <c r="BR65" s="57" t="s">
        <v>832</v>
      </c>
      <c r="BS65" s="54"/>
      <c r="BT65" s="56"/>
      <c r="BU65" s="56"/>
      <c r="BV65" s="57"/>
      <c r="BW65" s="60"/>
      <c r="BX65" s="187"/>
      <c r="BY65" s="56" t="s">
        <v>149</v>
      </c>
      <c r="BZ65" s="56"/>
      <c r="CA65" s="56" t="s">
        <v>149</v>
      </c>
      <c r="CB65" s="72"/>
      <c r="CC65" s="72"/>
      <c r="CD65" s="72"/>
      <c r="CE65" s="716" t="s">
        <v>822</v>
      </c>
      <c r="CF65" s="507" t="s">
        <v>823</v>
      </c>
      <c r="CG65" s="721" t="s">
        <v>824</v>
      </c>
      <c r="CH65" s="603" t="s">
        <v>825</v>
      </c>
      <c r="CI65" s="55" t="s">
        <v>142</v>
      </c>
      <c r="CJ65" s="55" t="s">
        <v>142</v>
      </c>
      <c r="CK65" s="55" t="s">
        <v>142</v>
      </c>
      <c r="CL65" s="55" t="s">
        <v>142</v>
      </c>
      <c r="CM65" s="55" t="s">
        <v>142</v>
      </c>
      <c r="CN65" s="55" t="s">
        <v>142</v>
      </c>
      <c r="CO65" s="55" t="s">
        <v>142</v>
      </c>
      <c r="CP65" s="55" t="s">
        <v>142</v>
      </c>
      <c r="CQ65" s="55" t="s">
        <v>142</v>
      </c>
      <c r="CR65" s="55" t="s">
        <v>142</v>
      </c>
      <c r="CS65" s="55" t="s">
        <v>142</v>
      </c>
      <c r="CT65" s="55" t="s">
        <v>142</v>
      </c>
      <c r="CU65" s="55" t="s">
        <v>142</v>
      </c>
      <c r="CV65" s="55" t="s">
        <v>142</v>
      </c>
      <c r="CW65" s="55" t="s">
        <v>142</v>
      </c>
      <c r="CX65" s="55" t="s">
        <v>142</v>
      </c>
      <c r="CY65" s="55" t="s">
        <v>142</v>
      </c>
      <c r="CZ65" s="96" t="s">
        <v>142</v>
      </c>
      <c r="DA65" s="54" t="s">
        <v>154</v>
      </c>
      <c r="DB65" s="50" t="s">
        <v>155</v>
      </c>
      <c r="DC65" s="50" t="s">
        <v>156</v>
      </c>
      <c r="DD65" s="50" t="s">
        <v>146</v>
      </c>
      <c r="DE65" s="50" t="s">
        <v>157</v>
      </c>
      <c r="DF65" s="50" t="s">
        <v>146</v>
      </c>
      <c r="DG65" s="73"/>
      <c r="DH65" s="73"/>
      <c r="DI65" s="73"/>
      <c r="DJ65" s="73"/>
      <c r="DK65" s="76" t="s">
        <v>146</v>
      </c>
      <c r="DL65" s="76" t="s">
        <v>146</v>
      </c>
      <c r="DM65" s="76" t="s">
        <v>146</v>
      </c>
      <c r="DN65" s="790"/>
    </row>
    <row r="66" spans="1:118" ht="135">
      <c r="A66" s="8">
        <v>64</v>
      </c>
      <c r="B66" s="49">
        <v>202609</v>
      </c>
      <c r="C66" s="50" t="s">
        <v>837</v>
      </c>
      <c r="D66" s="50" t="s">
        <v>133</v>
      </c>
      <c r="E66" s="51">
        <v>5805</v>
      </c>
      <c r="F66" s="54" t="s">
        <v>813</v>
      </c>
      <c r="G66" s="53"/>
      <c r="H66" s="95"/>
      <c r="I66" s="84"/>
      <c r="J66" s="54" t="s">
        <v>838</v>
      </c>
      <c r="K66" s="54" t="s">
        <v>839</v>
      </c>
      <c r="L66" s="53"/>
      <c r="M66" s="56" t="s">
        <v>840</v>
      </c>
      <c r="N66" s="57" t="s">
        <v>841</v>
      </c>
      <c r="O66" s="222" t="s">
        <v>142</v>
      </c>
      <c r="P66" s="96" t="s">
        <v>142</v>
      </c>
      <c r="Q66" s="60" t="s">
        <v>434</v>
      </c>
      <c r="R66" s="626" t="s">
        <v>661</v>
      </c>
      <c r="S66" s="55">
        <v>0</v>
      </c>
      <c r="T66" s="55">
        <v>0</v>
      </c>
      <c r="U66" s="55">
        <v>0</v>
      </c>
      <c r="V66" s="55">
        <v>0</v>
      </c>
      <c r="W66" s="55">
        <v>0</v>
      </c>
      <c r="X66" s="55">
        <v>0</v>
      </c>
      <c r="Y66" s="55">
        <v>0</v>
      </c>
      <c r="Z66" s="55">
        <v>100</v>
      </c>
      <c r="AA66" s="55">
        <v>0</v>
      </c>
      <c r="AB66" s="609">
        <v>100</v>
      </c>
      <c r="AC66" s="720" t="s">
        <v>199</v>
      </c>
      <c r="AD66" s="712" t="s">
        <v>190</v>
      </c>
      <c r="AE66" s="55" t="s">
        <v>142</v>
      </c>
      <c r="AF66" s="55" t="s">
        <v>142</v>
      </c>
      <c r="AG66" s="55" t="s">
        <v>146</v>
      </c>
      <c r="AH66" s="55">
        <v>1.5</v>
      </c>
      <c r="AI66" s="55">
        <v>100</v>
      </c>
      <c r="AJ66" s="713">
        <f>SUM(Sheet_1_Table_1_134[[#This Row],[ILP Units Per Session]]*Sheet_1_Table_1_134[[#This Row],[Quota]])</f>
        <v>150</v>
      </c>
      <c r="AK66" s="760">
        <v>46317</v>
      </c>
      <c r="AL66" s="64">
        <f>WEEKDAY(Sheet_1_Table_1_134[[#This Row],[Lesson 1 
Date 
(DD-MMM-YYYY)]])</f>
        <v>5</v>
      </c>
      <c r="AM66" s="552">
        <v>0.64583333333333337</v>
      </c>
      <c r="AN66" s="553">
        <v>0.70833333333333337</v>
      </c>
      <c r="AO66" s="725" t="s">
        <v>817</v>
      </c>
      <c r="AP66" s="555"/>
      <c r="AQ66" s="64" t="e">
        <f>WEEKDAY([4]!Sheet_1_Table_1_13[[#This Row],[Lesson 2
Date 
(DD-MMM-YYYY)]])</f>
        <v>#REF!</v>
      </c>
      <c r="AR66" s="65"/>
      <c r="AS66" s="66"/>
      <c r="AT66" s="126"/>
      <c r="AU66" s="63"/>
      <c r="AV66" s="64" t="e">
        <f>WEEKDAY([4]!Sheet_1_Table_1_13[[#This Row],[Lesson 3
Date 
(DD-MMM-YYYY)]])</f>
        <v>#REF!</v>
      </c>
      <c r="AW66" s="65"/>
      <c r="AX66" s="66"/>
      <c r="AY66" s="126"/>
      <c r="AZ66" s="98"/>
      <c r="BA66" s="64" t="e">
        <f>WEEKDAY([4]!Sheet_1_Table_1_13[[#This Row],[Lesson 4
Date 
(DD-MMM-YYYY)]])</f>
        <v>#REF!</v>
      </c>
      <c r="BB66" s="65"/>
      <c r="BC66" s="66"/>
      <c r="BD66" s="126"/>
      <c r="BE66" s="63"/>
      <c r="BF66" s="64" t="e">
        <f>WEEKDAY([4]!Sheet_1_Table_1_13[[#This Row],[Lesson 5
Date 
(DD-MMM-YYYY)]])</f>
        <v>#REF!</v>
      </c>
      <c r="BG66" s="65"/>
      <c r="BH66" s="66"/>
      <c r="BI66" s="126"/>
      <c r="BJ66" s="98"/>
      <c r="BK66" s="64" t="e">
        <f>WEEKDAY([4]!Sheet_1_Table_1_13[[#This Row],[Lesson 6
Date 
(DD-MMM-YYYY)]])</f>
        <v>#REF!</v>
      </c>
      <c r="BL66" s="65"/>
      <c r="BM66" s="66"/>
      <c r="BN66" s="99"/>
      <c r="BO66" s="717" t="s">
        <v>293</v>
      </c>
      <c r="BP66" s="69" t="s">
        <v>842</v>
      </c>
      <c r="BQ66" s="56" t="s">
        <v>422</v>
      </c>
      <c r="BR66" s="711" t="s">
        <v>843</v>
      </c>
      <c r="BS66" s="717" t="s">
        <v>818</v>
      </c>
      <c r="BT66" s="56" t="s">
        <v>844</v>
      </c>
      <c r="BU66" s="56" t="s">
        <v>845</v>
      </c>
      <c r="BV66" s="125" t="s">
        <v>846</v>
      </c>
      <c r="BW66" s="60"/>
      <c r="BX66" s="187"/>
      <c r="BY66" s="56" t="s">
        <v>184</v>
      </c>
      <c r="BZ66" s="56"/>
      <c r="CA66" s="56" t="s">
        <v>184</v>
      </c>
      <c r="CB66" s="72"/>
      <c r="CC66" s="72"/>
      <c r="CD66" s="72"/>
      <c r="CE66" s="716" t="s">
        <v>822</v>
      </c>
      <c r="CF66" s="507" t="s">
        <v>823</v>
      </c>
      <c r="CG66" s="721" t="s">
        <v>824</v>
      </c>
      <c r="CH66" s="603" t="s">
        <v>825</v>
      </c>
      <c r="CI66" s="55" t="s">
        <v>142</v>
      </c>
      <c r="CJ66" s="55" t="s">
        <v>142</v>
      </c>
      <c r="CK66" s="55" t="s">
        <v>142</v>
      </c>
      <c r="CL66" s="55" t="s">
        <v>142</v>
      </c>
      <c r="CM66" s="55" t="s">
        <v>142</v>
      </c>
      <c r="CN66" s="55" t="s">
        <v>142</v>
      </c>
      <c r="CO66" s="55" t="s">
        <v>142</v>
      </c>
      <c r="CP66" s="55" t="s">
        <v>142</v>
      </c>
      <c r="CQ66" s="55" t="s">
        <v>142</v>
      </c>
      <c r="CR66" s="55" t="s">
        <v>142</v>
      </c>
      <c r="CS66" s="55" t="s">
        <v>142</v>
      </c>
      <c r="CT66" s="55" t="s">
        <v>142</v>
      </c>
      <c r="CU66" s="55" t="s">
        <v>142</v>
      </c>
      <c r="CV66" s="55" t="s">
        <v>142</v>
      </c>
      <c r="CW66" s="55" t="s">
        <v>142</v>
      </c>
      <c r="CX66" s="55" t="s">
        <v>142</v>
      </c>
      <c r="CY66" s="55" t="s">
        <v>142</v>
      </c>
      <c r="CZ66" s="96" t="s">
        <v>142</v>
      </c>
      <c r="DA66" s="54" t="s">
        <v>154</v>
      </c>
      <c r="DB66" s="50" t="s">
        <v>155</v>
      </c>
      <c r="DC66" s="50" t="s">
        <v>156</v>
      </c>
      <c r="DD66" s="50" t="s">
        <v>146</v>
      </c>
      <c r="DE66" s="50" t="s">
        <v>157</v>
      </c>
      <c r="DF66" s="50" t="s">
        <v>146</v>
      </c>
      <c r="DG66" s="73"/>
      <c r="DH66" s="73"/>
      <c r="DI66" s="73"/>
      <c r="DJ66" s="73"/>
      <c r="DK66" s="76" t="s">
        <v>146</v>
      </c>
      <c r="DL66" s="76" t="s">
        <v>146</v>
      </c>
      <c r="DM66" s="76" t="s">
        <v>146</v>
      </c>
      <c r="DN66" s="790"/>
    </row>
    <row r="67" spans="1:118" ht="105">
      <c r="A67" s="8">
        <v>65</v>
      </c>
      <c r="B67" s="49">
        <v>202609</v>
      </c>
      <c r="C67" s="50" t="s">
        <v>847</v>
      </c>
      <c r="D67" s="50" t="s">
        <v>133</v>
      </c>
      <c r="E67" s="51">
        <v>5806</v>
      </c>
      <c r="F67" s="54" t="s">
        <v>813</v>
      </c>
      <c r="G67" s="53"/>
      <c r="H67" s="95"/>
      <c r="I67" s="84"/>
      <c r="J67" s="60"/>
      <c r="K67" s="54" t="s">
        <v>848</v>
      </c>
      <c r="L67" s="53"/>
      <c r="M67" s="56" t="s">
        <v>849</v>
      </c>
      <c r="N67" s="57" t="s">
        <v>850</v>
      </c>
      <c r="O67" s="222" t="s">
        <v>142</v>
      </c>
      <c r="P67" s="96" t="s">
        <v>142</v>
      </c>
      <c r="Q67" s="60" t="s">
        <v>434</v>
      </c>
      <c r="R67" s="626" t="s">
        <v>661</v>
      </c>
      <c r="S67" s="55">
        <v>0</v>
      </c>
      <c r="T67" s="55">
        <v>0</v>
      </c>
      <c r="U67" s="55">
        <v>0</v>
      </c>
      <c r="V67" s="55">
        <v>0</v>
      </c>
      <c r="W67" s="55">
        <v>0</v>
      </c>
      <c r="X67" s="55">
        <v>0</v>
      </c>
      <c r="Y67" s="55">
        <v>0</v>
      </c>
      <c r="Z67" s="55">
        <v>100</v>
      </c>
      <c r="AA67" s="55">
        <v>0</v>
      </c>
      <c r="AB67" s="609">
        <v>100</v>
      </c>
      <c r="AC67" s="720" t="s">
        <v>199</v>
      </c>
      <c r="AD67" s="712" t="s">
        <v>190</v>
      </c>
      <c r="AE67" s="55" t="s">
        <v>146</v>
      </c>
      <c r="AF67" s="55" t="s">
        <v>142</v>
      </c>
      <c r="AG67" s="55" t="s">
        <v>142</v>
      </c>
      <c r="AH67" s="55">
        <v>1</v>
      </c>
      <c r="AI67" s="55">
        <v>100</v>
      </c>
      <c r="AJ67" s="713">
        <f>SUM(Sheet_1_Table_1_134[[#This Row],[ILP Units Per Session]]*Sheet_1_Table_1_134[[#This Row],[Quota]])</f>
        <v>100</v>
      </c>
      <c r="AK67" s="760">
        <v>46331</v>
      </c>
      <c r="AL67" s="64">
        <f>WEEKDAY(Sheet_1_Table_1_134[[#This Row],[Lesson 1 
Date 
(DD-MMM-YYYY)]])</f>
        <v>5</v>
      </c>
      <c r="AM67" s="552">
        <v>0.66666666666666663</v>
      </c>
      <c r="AN67" s="553">
        <v>0.70833333333333337</v>
      </c>
      <c r="AO67" s="725" t="s">
        <v>817</v>
      </c>
      <c r="AP67" s="555"/>
      <c r="AQ67" s="64" t="e">
        <f>WEEKDAY([4]!Sheet_1_Table_1_13[[#This Row],[Lesson 2
Date 
(DD-MMM-YYYY)]])</f>
        <v>#REF!</v>
      </c>
      <c r="AR67" s="65"/>
      <c r="AS67" s="66"/>
      <c r="AT67" s="126"/>
      <c r="AU67" s="63"/>
      <c r="AV67" s="64" t="e">
        <f>WEEKDAY([4]!Sheet_1_Table_1_13[[#This Row],[Lesson 3
Date 
(DD-MMM-YYYY)]])</f>
        <v>#REF!</v>
      </c>
      <c r="AW67" s="65"/>
      <c r="AX67" s="66"/>
      <c r="AY67" s="126"/>
      <c r="AZ67" s="98"/>
      <c r="BA67" s="64" t="e">
        <f>WEEKDAY([4]!Sheet_1_Table_1_13[[#This Row],[Lesson 4
Date 
(DD-MMM-YYYY)]])</f>
        <v>#REF!</v>
      </c>
      <c r="BB67" s="65"/>
      <c r="BC67" s="66"/>
      <c r="BD67" s="126"/>
      <c r="BE67" s="63"/>
      <c r="BF67" s="64" t="e">
        <f>WEEKDAY([4]!Sheet_1_Table_1_13[[#This Row],[Lesson 5
Date 
(DD-MMM-YYYY)]])</f>
        <v>#REF!</v>
      </c>
      <c r="BG67" s="65"/>
      <c r="BH67" s="66"/>
      <c r="BI67" s="126"/>
      <c r="BJ67" s="98"/>
      <c r="BK67" s="64" t="e">
        <f>WEEKDAY([4]!Sheet_1_Table_1_13[[#This Row],[Lesson 6
Date 
(DD-MMM-YYYY)]])</f>
        <v>#REF!</v>
      </c>
      <c r="BL67" s="65"/>
      <c r="BM67" s="66"/>
      <c r="BN67" s="99"/>
      <c r="BO67" s="717" t="s">
        <v>818</v>
      </c>
      <c r="BP67" s="69" t="s">
        <v>844</v>
      </c>
      <c r="BQ67" s="56" t="s">
        <v>845</v>
      </c>
      <c r="BR67" s="125" t="s">
        <v>846</v>
      </c>
      <c r="BS67" s="54"/>
      <c r="BT67" s="56"/>
      <c r="BU67" s="56"/>
      <c r="BV67" s="57"/>
      <c r="BW67" s="60"/>
      <c r="BX67" s="187"/>
      <c r="BY67" s="56"/>
      <c r="BZ67" s="56"/>
      <c r="CA67" s="56"/>
      <c r="CB67" s="72"/>
      <c r="CC67" s="72"/>
      <c r="CD67" s="72"/>
      <c r="CE67" s="716" t="s">
        <v>822</v>
      </c>
      <c r="CF67" s="507" t="s">
        <v>823</v>
      </c>
      <c r="CG67" s="721" t="s">
        <v>824</v>
      </c>
      <c r="CH67" s="603" t="s">
        <v>825</v>
      </c>
      <c r="CI67" s="55" t="s">
        <v>142</v>
      </c>
      <c r="CJ67" s="55" t="s">
        <v>142</v>
      </c>
      <c r="CK67" s="55" t="s">
        <v>142</v>
      </c>
      <c r="CL67" s="55" t="s">
        <v>142</v>
      </c>
      <c r="CM67" s="55" t="s">
        <v>142</v>
      </c>
      <c r="CN67" s="55" t="s">
        <v>142</v>
      </c>
      <c r="CO67" s="55" t="s">
        <v>142</v>
      </c>
      <c r="CP67" s="55" t="s">
        <v>142</v>
      </c>
      <c r="CQ67" s="55" t="s">
        <v>142</v>
      </c>
      <c r="CR67" s="55" t="s">
        <v>142</v>
      </c>
      <c r="CS67" s="55" t="s">
        <v>142</v>
      </c>
      <c r="CT67" s="55" t="s">
        <v>142</v>
      </c>
      <c r="CU67" s="55" t="s">
        <v>142</v>
      </c>
      <c r="CV67" s="55" t="s">
        <v>142</v>
      </c>
      <c r="CW67" s="55" t="s">
        <v>142</v>
      </c>
      <c r="CX67" s="55" t="s">
        <v>142</v>
      </c>
      <c r="CY67" s="55" t="s">
        <v>142</v>
      </c>
      <c r="CZ67" s="96" t="s">
        <v>142</v>
      </c>
      <c r="DA67" s="54" t="s">
        <v>154</v>
      </c>
      <c r="DB67" s="50" t="s">
        <v>155</v>
      </c>
      <c r="DC67" s="50" t="s">
        <v>156</v>
      </c>
      <c r="DD67" s="50" t="s">
        <v>146</v>
      </c>
      <c r="DE67" s="50" t="s">
        <v>157</v>
      </c>
      <c r="DF67" s="50" t="s">
        <v>146</v>
      </c>
      <c r="DG67" s="73"/>
      <c r="DH67" s="73"/>
      <c r="DI67" s="73"/>
      <c r="DJ67" s="73"/>
      <c r="DK67" s="76" t="s">
        <v>146</v>
      </c>
      <c r="DL67" s="76" t="s">
        <v>146</v>
      </c>
      <c r="DM67" s="76" t="s">
        <v>146</v>
      </c>
      <c r="DN67" s="790"/>
    </row>
    <row r="68" spans="1:118" ht="150">
      <c r="A68" s="8">
        <v>66</v>
      </c>
      <c r="B68" s="579">
        <v>202609</v>
      </c>
      <c r="C68" s="577" t="s">
        <v>851</v>
      </c>
      <c r="D68" s="577" t="s">
        <v>133</v>
      </c>
      <c r="E68" s="581">
        <v>5807</v>
      </c>
      <c r="F68" s="576" t="s">
        <v>813</v>
      </c>
      <c r="G68" s="595"/>
      <c r="H68" s="297"/>
      <c r="I68" s="301"/>
      <c r="J68" s="558"/>
      <c r="K68" s="576" t="s">
        <v>852</v>
      </c>
      <c r="L68" s="595"/>
      <c r="M68" s="560" t="s">
        <v>853</v>
      </c>
      <c r="N68" s="298" t="s">
        <v>854</v>
      </c>
      <c r="O68" s="625" t="s">
        <v>142</v>
      </c>
      <c r="P68" s="575" t="s">
        <v>142</v>
      </c>
      <c r="Q68" s="558" t="s">
        <v>434</v>
      </c>
      <c r="R68" s="626" t="s">
        <v>661</v>
      </c>
      <c r="S68" s="562">
        <v>0</v>
      </c>
      <c r="T68" s="562">
        <v>0</v>
      </c>
      <c r="U68" s="562">
        <v>0</v>
      </c>
      <c r="V68" s="562">
        <v>0</v>
      </c>
      <c r="W68" s="562">
        <v>0</v>
      </c>
      <c r="X68" s="562">
        <v>0</v>
      </c>
      <c r="Y68" s="562">
        <v>0</v>
      </c>
      <c r="Z68" s="562">
        <v>100</v>
      </c>
      <c r="AA68" s="562">
        <v>0</v>
      </c>
      <c r="AB68" s="609">
        <v>100</v>
      </c>
      <c r="AC68" s="746" t="s">
        <v>199</v>
      </c>
      <c r="AD68" s="747" t="s">
        <v>190</v>
      </c>
      <c r="AE68" s="562" t="s">
        <v>146</v>
      </c>
      <c r="AF68" s="562" t="s">
        <v>142</v>
      </c>
      <c r="AG68" s="562" t="s">
        <v>142</v>
      </c>
      <c r="AH68" s="562">
        <v>1</v>
      </c>
      <c r="AI68" s="562">
        <v>100</v>
      </c>
      <c r="AJ68" s="713">
        <f>SUM(Sheet_1_Table_1_134[[#This Row],[ILP Units Per Session]]*Sheet_1_Table_1_134[[#This Row],[Quota]])</f>
        <v>100</v>
      </c>
      <c r="AK68" s="760">
        <v>46310</v>
      </c>
      <c r="AL68" s="64">
        <f>WEEKDAY(Sheet_1_Table_1_134[[#This Row],[Lesson 1 
Date 
(DD-MMM-YYYY)]])</f>
        <v>5</v>
      </c>
      <c r="AM68" s="761">
        <v>0.60416666666666663</v>
      </c>
      <c r="AN68" s="611">
        <v>0.64583333333333337</v>
      </c>
      <c r="AO68" s="748" t="s">
        <v>817</v>
      </c>
      <c r="AP68" s="585"/>
      <c r="AQ68" s="586" t="e">
        <f>WEEKDAY([4]!Sheet_1_Table_1_13[[#This Row],[Lesson 2
Date 
(DD-MMM-YYYY)]])</f>
        <v>#REF!</v>
      </c>
      <c r="AR68" s="565"/>
      <c r="AS68" s="583"/>
      <c r="AT68" s="584"/>
      <c r="AU68" s="582"/>
      <c r="AV68" s="586" t="e">
        <f>WEEKDAY([4]!Sheet_1_Table_1_13[[#This Row],[Lesson 3
Date 
(DD-MMM-YYYY)]])</f>
        <v>#REF!</v>
      </c>
      <c r="AW68" s="565"/>
      <c r="AX68" s="583"/>
      <c r="AY68" s="584"/>
      <c r="AZ68" s="587"/>
      <c r="BA68" s="586" t="e">
        <f>WEEKDAY([4]!Sheet_1_Table_1_13[[#This Row],[Lesson 4
Date 
(DD-MMM-YYYY)]])</f>
        <v>#REF!</v>
      </c>
      <c r="BB68" s="565"/>
      <c r="BC68" s="583"/>
      <c r="BD68" s="584"/>
      <c r="BE68" s="582"/>
      <c r="BF68" s="586" t="e">
        <f>WEEKDAY([4]!Sheet_1_Table_1_13[[#This Row],[Lesson 5
Date 
(DD-MMM-YYYY)]])</f>
        <v>#REF!</v>
      </c>
      <c r="BG68" s="565"/>
      <c r="BH68" s="583"/>
      <c r="BI68" s="584"/>
      <c r="BJ68" s="587"/>
      <c r="BK68" s="586" t="e">
        <f>WEEKDAY([4]!Sheet_1_Table_1_13[[#This Row],[Lesson 6
Date 
(DD-MMM-YYYY)]])</f>
        <v>#REF!</v>
      </c>
      <c r="BL68" s="565"/>
      <c r="BM68" s="583"/>
      <c r="BN68" s="588"/>
      <c r="BO68" s="749" t="s">
        <v>818</v>
      </c>
      <c r="BP68" s="559" t="s">
        <v>844</v>
      </c>
      <c r="BQ68" s="560" t="s">
        <v>845</v>
      </c>
      <c r="BR68" s="750" t="s">
        <v>846</v>
      </c>
      <c r="BS68" s="576"/>
      <c r="BT68" s="560"/>
      <c r="BU68" s="560"/>
      <c r="BV68" s="298"/>
      <c r="BW68" s="558"/>
      <c r="BX68" s="615"/>
      <c r="BY68" s="560" t="s">
        <v>184</v>
      </c>
      <c r="BZ68" s="560"/>
      <c r="CA68" s="560" t="s">
        <v>184</v>
      </c>
      <c r="CB68" s="590"/>
      <c r="CC68" s="590"/>
      <c r="CD68" s="590"/>
      <c r="CE68" s="751" t="s">
        <v>822</v>
      </c>
      <c r="CF68" s="572" t="s">
        <v>823</v>
      </c>
      <c r="CG68" s="752" t="s">
        <v>824</v>
      </c>
      <c r="CH68" s="616" t="s">
        <v>825</v>
      </c>
      <c r="CI68" s="562" t="s">
        <v>142</v>
      </c>
      <c r="CJ68" s="562" t="s">
        <v>142</v>
      </c>
      <c r="CK68" s="562" t="s">
        <v>142</v>
      </c>
      <c r="CL68" s="562" t="s">
        <v>142</v>
      </c>
      <c r="CM68" s="562" t="s">
        <v>142</v>
      </c>
      <c r="CN68" s="562" t="s">
        <v>142</v>
      </c>
      <c r="CO68" s="562" t="s">
        <v>142</v>
      </c>
      <c r="CP68" s="562" t="s">
        <v>142</v>
      </c>
      <c r="CQ68" s="562" t="s">
        <v>142</v>
      </c>
      <c r="CR68" s="562" t="s">
        <v>142</v>
      </c>
      <c r="CS68" s="562" t="s">
        <v>142</v>
      </c>
      <c r="CT68" s="562" t="s">
        <v>142</v>
      </c>
      <c r="CU68" s="562" t="s">
        <v>142</v>
      </c>
      <c r="CV68" s="562" t="s">
        <v>142</v>
      </c>
      <c r="CW68" s="562" t="s">
        <v>142</v>
      </c>
      <c r="CX68" s="562" t="s">
        <v>142</v>
      </c>
      <c r="CY68" s="562" t="s">
        <v>142</v>
      </c>
      <c r="CZ68" s="575" t="s">
        <v>142</v>
      </c>
      <c r="DA68" s="576" t="s">
        <v>154</v>
      </c>
      <c r="DB68" s="577" t="s">
        <v>155</v>
      </c>
      <c r="DC68" s="577" t="s">
        <v>156</v>
      </c>
      <c r="DD68" s="577" t="s">
        <v>146</v>
      </c>
      <c r="DE68" s="577" t="s">
        <v>157</v>
      </c>
      <c r="DF68" s="577" t="s">
        <v>146</v>
      </c>
      <c r="DG68" s="578"/>
      <c r="DH68" s="578"/>
      <c r="DI68" s="578"/>
      <c r="DJ68" s="578"/>
      <c r="DK68" s="76" t="s">
        <v>146</v>
      </c>
      <c r="DL68" s="76" t="s">
        <v>146</v>
      </c>
      <c r="DM68" s="76" t="s">
        <v>146</v>
      </c>
      <c r="DN68" s="790"/>
    </row>
    <row r="69" spans="1:118" ht="150">
      <c r="A69" s="8">
        <v>67</v>
      </c>
      <c r="B69" s="579">
        <v>202609</v>
      </c>
      <c r="C69" s="577" t="s">
        <v>855</v>
      </c>
      <c r="D69" s="577" t="s">
        <v>133</v>
      </c>
      <c r="E69" s="581">
        <v>5904</v>
      </c>
      <c r="F69" s="576" t="s">
        <v>328</v>
      </c>
      <c r="G69" s="595" t="s">
        <v>157</v>
      </c>
      <c r="H69" s="297"/>
      <c r="I69" s="301"/>
      <c r="J69" s="558" t="s">
        <v>856</v>
      </c>
      <c r="K69" s="576" t="s">
        <v>857</v>
      </c>
      <c r="L69" s="595"/>
      <c r="M69" s="560" t="s">
        <v>858</v>
      </c>
      <c r="N69" s="298" t="s">
        <v>859</v>
      </c>
      <c r="O69" s="625" t="s">
        <v>142</v>
      </c>
      <c r="P69" s="575" t="s">
        <v>142</v>
      </c>
      <c r="Q69" s="558" t="s">
        <v>434</v>
      </c>
      <c r="R69" s="626" t="s">
        <v>661</v>
      </c>
      <c r="S69" s="562">
        <v>0</v>
      </c>
      <c r="T69" s="562">
        <v>0</v>
      </c>
      <c r="U69" s="562">
        <v>0</v>
      </c>
      <c r="V69" s="562">
        <v>0</v>
      </c>
      <c r="W69" s="562">
        <v>0</v>
      </c>
      <c r="X69" s="562">
        <v>0</v>
      </c>
      <c r="Y69" s="562">
        <v>100</v>
      </c>
      <c r="Z69" s="562">
        <v>0</v>
      </c>
      <c r="AA69" s="562">
        <v>0</v>
      </c>
      <c r="AB69" s="609">
        <v>100</v>
      </c>
      <c r="AC69" s="295" t="s">
        <v>245</v>
      </c>
      <c r="AD69" s="562" t="s">
        <v>190</v>
      </c>
      <c r="AE69" s="562" t="s">
        <v>142</v>
      </c>
      <c r="AF69" s="562" t="s">
        <v>146</v>
      </c>
      <c r="AG69" s="562" t="s">
        <v>142</v>
      </c>
      <c r="AH69" s="562">
        <v>2</v>
      </c>
      <c r="AI69" s="562">
        <v>30</v>
      </c>
      <c r="AJ69" s="713">
        <f>SUM(Sheet_1_Table_1_134[[#This Row],[ILP Units Per Session]]*Sheet_1_Table_1_134[[#This Row],[Quota]])</f>
        <v>60</v>
      </c>
      <c r="AK69" s="760">
        <v>46354</v>
      </c>
      <c r="AL69" s="64">
        <f>WEEKDAY(Sheet_1_Table_1_134[[#This Row],[Lesson 1 
Date 
(DD-MMM-YYYY)]])</f>
        <v>7</v>
      </c>
      <c r="AM69" s="761">
        <v>0.42708333333333331</v>
      </c>
      <c r="AN69" s="611">
        <v>0.51041666666666663</v>
      </c>
      <c r="AO69" s="627" t="s">
        <v>860</v>
      </c>
      <c r="AP69" s="585"/>
      <c r="AQ69" s="586" t="e">
        <f>WEEKDAY([5]!Sheet_1_Table_1_13[[#This Row],[Lesson 2
Date 
(DD-MMM-YYYY)]])</f>
        <v>#REF!</v>
      </c>
      <c r="AR69" s="565"/>
      <c r="AS69" s="583"/>
      <c r="AT69" s="584"/>
      <c r="AU69" s="582"/>
      <c r="AV69" s="586" t="e">
        <f>WEEKDAY([5]!Sheet_1_Table_1_13[[#This Row],[Lesson 3
Date 
(DD-MMM-YYYY)]])</f>
        <v>#REF!</v>
      </c>
      <c r="AW69" s="565"/>
      <c r="AX69" s="583"/>
      <c r="AY69" s="584"/>
      <c r="AZ69" s="587"/>
      <c r="BA69" s="586" t="e">
        <f>WEEKDAY([5]!Sheet_1_Table_1_13[[#This Row],[Lesson 4
Date 
(DD-MMM-YYYY)]])</f>
        <v>#REF!</v>
      </c>
      <c r="BB69" s="565"/>
      <c r="BC69" s="583"/>
      <c r="BD69" s="584"/>
      <c r="BE69" s="582"/>
      <c r="BF69" s="586" t="e">
        <f>WEEKDAY([5]!Sheet_1_Table_1_13[[#This Row],[Lesson 5
Date 
(DD-MMM-YYYY)]])</f>
        <v>#REF!</v>
      </c>
      <c r="BG69" s="565"/>
      <c r="BH69" s="583"/>
      <c r="BI69" s="584"/>
      <c r="BJ69" s="587"/>
      <c r="BK69" s="586" t="e">
        <f>WEEKDAY([5]!Sheet_1_Table_1_13[[#This Row],[Lesson 6
Date 
(DD-MMM-YYYY)]])</f>
        <v>#REF!</v>
      </c>
      <c r="BL69" s="565"/>
      <c r="BM69" s="583"/>
      <c r="BN69" s="588"/>
      <c r="BO69" s="576"/>
      <c r="BP69" s="559" t="s">
        <v>861</v>
      </c>
      <c r="BQ69" s="560"/>
      <c r="BR69" s="298" t="s">
        <v>184</v>
      </c>
      <c r="BS69" s="576"/>
      <c r="BT69" s="560"/>
      <c r="BU69" s="560"/>
      <c r="BV69" s="298"/>
      <c r="BW69" s="558">
        <v>0</v>
      </c>
      <c r="BX69" s="615">
        <v>100</v>
      </c>
      <c r="BY69" s="560">
        <v>0.42708333333333331</v>
      </c>
      <c r="BZ69" s="560" t="s">
        <v>862</v>
      </c>
      <c r="CA69" s="560" t="s">
        <v>863</v>
      </c>
      <c r="CB69" s="590"/>
      <c r="CC69" s="590"/>
      <c r="CD69" s="590"/>
      <c r="CE69" s="558" t="s">
        <v>342</v>
      </c>
      <c r="CF69" s="572" t="s">
        <v>343</v>
      </c>
      <c r="CG69" s="560" t="s">
        <v>344</v>
      </c>
      <c r="CH69" s="616" t="s">
        <v>345</v>
      </c>
      <c r="CI69" s="562" t="s">
        <v>146</v>
      </c>
      <c r="CJ69" s="562" t="s">
        <v>142</v>
      </c>
      <c r="CK69" s="562" t="s">
        <v>142</v>
      </c>
      <c r="CL69" s="562" t="s">
        <v>142</v>
      </c>
      <c r="CM69" s="562" t="s">
        <v>142</v>
      </c>
      <c r="CN69" s="562" t="s">
        <v>142</v>
      </c>
      <c r="CO69" s="562" t="s">
        <v>142</v>
      </c>
      <c r="CP69" s="562" t="s">
        <v>142</v>
      </c>
      <c r="CQ69" s="562" t="s">
        <v>142</v>
      </c>
      <c r="CR69" s="562" t="s">
        <v>142</v>
      </c>
      <c r="CS69" s="562" t="s">
        <v>142</v>
      </c>
      <c r="CT69" s="562" t="s">
        <v>146</v>
      </c>
      <c r="CU69" s="562" t="s">
        <v>142</v>
      </c>
      <c r="CV69" s="562" t="s">
        <v>142</v>
      </c>
      <c r="CW69" s="562" t="s">
        <v>146</v>
      </c>
      <c r="CX69" s="562" t="s">
        <v>142</v>
      </c>
      <c r="CY69" s="562" t="s">
        <v>142</v>
      </c>
      <c r="CZ69" s="575" t="s">
        <v>146</v>
      </c>
      <c r="DA69" s="576" t="s">
        <v>154</v>
      </c>
      <c r="DB69" s="577" t="s">
        <v>155</v>
      </c>
      <c r="DC69" s="577" t="s">
        <v>156</v>
      </c>
      <c r="DD69" s="577" t="s">
        <v>146</v>
      </c>
      <c r="DE69" s="577" t="s">
        <v>157</v>
      </c>
      <c r="DF69" s="577" t="s">
        <v>146</v>
      </c>
      <c r="DG69" s="578"/>
      <c r="DH69" s="578"/>
      <c r="DI69" s="578"/>
      <c r="DJ69" s="578"/>
      <c r="DK69" s="76" t="s">
        <v>146</v>
      </c>
      <c r="DL69" s="76" t="s">
        <v>146</v>
      </c>
      <c r="DM69" s="76" t="s">
        <v>146</v>
      </c>
      <c r="DN69" s="790"/>
    </row>
    <row r="70" spans="1:118" ht="135">
      <c r="A70" s="8">
        <v>68</v>
      </c>
      <c r="B70" s="49">
        <v>202609</v>
      </c>
      <c r="C70" s="50" t="s">
        <v>864</v>
      </c>
      <c r="D70" s="50" t="s">
        <v>174</v>
      </c>
      <c r="E70" s="51">
        <v>5816</v>
      </c>
      <c r="F70" s="54" t="s">
        <v>865</v>
      </c>
      <c r="G70" s="53" t="s">
        <v>157</v>
      </c>
      <c r="H70" s="95" t="s">
        <v>866</v>
      </c>
      <c r="I70" s="84" t="s">
        <v>867</v>
      </c>
      <c r="J70" s="60"/>
      <c r="K70" s="54" t="s">
        <v>868</v>
      </c>
      <c r="L70" s="53"/>
      <c r="M70" s="56" t="s">
        <v>869</v>
      </c>
      <c r="N70" s="57" t="s">
        <v>870</v>
      </c>
      <c r="O70" s="222" t="s">
        <v>146</v>
      </c>
      <c r="P70" s="96" t="s">
        <v>146</v>
      </c>
      <c r="Q70" s="60" t="s">
        <v>434</v>
      </c>
      <c r="R70" s="626" t="s">
        <v>661</v>
      </c>
      <c r="S70" s="55">
        <v>20</v>
      </c>
      <c r="T70" s="55">
        <v>60</v>
      </c>
      <c r="U70" s="55">
        <v>0</v>
      </c>
      <c r="V70" s="55">
        <v>0</v>
      </c>
      <c r="W70" s="55">
        <v>0</v>
      </c>
      <c r="X70" s="55">
        <v>0</v>
      </c>
      <c r="Y70" s="55">
        <v>0</v>
      </c>
      <c r="Z70" s="55">
        <v>0</v>
      </c>
      <c r="AA70" s="55">
        <v>20</v>
      </c>
      <c r="AB70" s="609">
        <v>100</v>
      </c>
      <c r="AC70" s="97" t="s">
        <v>199</v>
      </c>
      <c r="AD70" s="55" t="s">
        <v>190</v>
      </c>
      <c r="AE70" s="55" t="s">
        <v>146</v>
      </c>
      <c r="AF70" s="55" t="s">
        <v>142</v>
      </c>
      <c r="AG70" s="55" t="s">
        <v>142</v>
      </c>
      <c r="AH70" s="55">
        <v>2</v>
      </c>
      <c r="AI70" s="55">
        <v>15</v>
      </c>
      <c r="AJ70" s="713">
        <f>SUM(Sheet_1_Table_1_134[[#This Row],[ILP Units Per Session]]*Sheet_1_Table_1_134[[#This Row],[Quota]])</f>
        <v>30</v>
      </c>
      <c r="AK70" s="760">
        <v>46302</v>
      </c>
      <c r="AL70" s="64">
        <f>WEEKDAY(Sheet_1_Table_1_134[[#This Row],[Lesson 1 
Date 
(DD-MMM-YYYY)]])</f>
        <v>4</v>
      </c>
      <c r="AM70" s="552">
        <v>0.77083333333333337</v>
      </c>
      <c r="AN70" s="553">
        <v>0.85416666666666663</v>
      </c>
      <c r="AO70" s="707" t="s">
        <v>871</v>
      </c>
      <c r="AP70" s="555"/>
      <c r="AQ70" s="64" t="e">
        <f>WEEKDAY([6]!Sheet_1_Table_1_13[[#This Row],[Lesson 2
Date 
(DD-MMM-YYYY)]])</f>
        <v>#REF!</v>
      </c>
      <c r="AR70" s="65"/>
      <c r="AS70" s="66"/>
      <c r="AT70" s="126"/>
      <c r="AU70" s="63"/>
      <c r="AV70" s="64" t="e">
        <f>WEEKDAY([6]!Sheet_1_Table_1_13[[#This Row],[Lesson 3
Date 
(DD-MMM-YYYY)]])</f>
        <v>#REF!</v>
      </c>
      <c r="AW70" s="65"/>
      <c r="AX70" s="66"/>
      <c r="AY70" s="126"/>
      <c r="AZ70" s="98"/>
      <c r="BA70" s="64" t="e">
        <f>WEEKDAY([6]!Sheet_1_Table_1_13[[#This Row],[Lesson 4
Date 
(DD-MMM-YYYY)]])</f>
        <v>#REF!</v>
      </c>
      <c r="BB70" s="65"/>
      <c r="BC70" s="66"/>
      <c r="BD70" s="126"/>
      <c r="BE70" s="63"/>
      <c r="BF70" s="64" t="e">
        <f>WEEKDAY([6]!Sheet_1_Table_1_13[[#This Row],[Lesson 5
Date 
(DD-MMM-YYYY)]])</f>
        <v>#REF!</v>
      </c>
      <c r="BG70" s="65"/>
      <c r="BH70" s="66"/>
      <c r="BI70" s="126"/>
      <c r="BJ70" s="98"/>
      <c r="BK70" s="64" t="e">
        <f>WEEKDAY([6]!Sheet_1_Table_1_13[[#This Row],[Lesson 6
Date 
(DD-MMM-YYYY)]])</f>
        <v>#REF!</v>
      </c>
      <c r="BL70" s="65"/>
      <c r="BM70" s="66"/>
      <c r="BN70" s="99"/>
      <c r="BO70" s="54" t="s">
        <v>163</v>
      </c>
      <c r="BP70" s="69" t="s">
        <v>872</v>
      </c>
      <c r="BQ70" s="56" t="s">
        <v>490</v>
      </c>
      <c r="BR70" s="57" t="s">
        <v>873</v>
      </c>
      <c r="BS70" s="54"/>
      <c r="BT70" s="56"/>
      <c r="BU70" s="56"/>
      <c r="BV70" s="57"/>
      <c r="BW70" s="60"/>
      <c r="BX70" s="187"/>
      <c r="BY70" s="56" t="s">
        <v>149</v>
      </c>
      <c r="BZ70" s="56"/>
      <c r="CA70" s="56" t="s">
        <v>149</v>
      </c>
      <c r="CB70" s="72"/>
      <c r="CC70" s="72"/>
      <c r="CD70" s="72"/>
      <c r="CE70" s="60" t="s">
        <v>874</v>
      </c>
      <c r="CF70" s="507" t="s">
        <v>875</v>
      </c>
      <c r="CG70" s="56"/>
      <c r="CH70" s="57"/>
      <c r="CI70" s="55" t="s">
        <v>146</v>
      </c>
      <c r="CJ70" s="55" t="s">
        <v>142</v>
      </c>
      <c r="CK70" s="55" t="s">
        <v>142</v>
      </c>
      <c r="CL70" s="55" t="s">
        <v>142</v>
      </c>
      <c r="CM70" s="55" t="s">
        <v>146</v>
      </c>
      <c r="CN70" s="55" t="s">
        <v>142</v>
      </c>
      <c r="CO70" s="55" t="s">
        <v>142</v>
      </c>
      <c r="CP70" s="55" t="s">
        <v>142</v>
      </c>
      <c r="CQ70" s="55" t="s">
        <v>142</v>
      </c>
      <c r="CR70" s="55" t="s">
        <v>146</v>
      </c>
      <c r="CS70" s="55" t="s">
        <v>142</v>
      </c>
      <c r="CT70" s="55" t="s">
        <v>146</v>
      </c>
      <c r="CU70" s="55" t="s">
        <v>142</v>
      </c>
      <c r="CV70" s="55" t="s">
        <v>142</v>
      </c>
      <c r="CW70" s="55" t="s">
        <v>142</v>
      </c>
      <c r="CX70" s="55" t="s">
        <v>142</v>
      </c>
      <c r="CY70" s="55" t="s">
        <v>142</v>
      </c>
      <c r="CZ70" s="96" t="s">
        <v>142</v>
      </c>
      <c r="DA70" s="54" t="s">
        <v>154</v>
      </c>
      <c r="DB70" s="50" t="s">
        <v>155</v>
      </c>
      <c r="DC70" s="50" t="s">
        <v>156</v>
      </c>
      <c r="DD70" s="50" t="s">
        <v>146</v>
      </c>
      <c r="DE70" s="50" t="s">
        <v>157</v>
      </c>
      <c r="DF70" s="50" t="s">
        <v>146</v>
      </c>
      <c r="DG70" s="73"/>
      <c r="DH70" s="73"/>
      <c r="DI70" s="73"/>
      <c r="DJ70" s="73"/>
      <c r="DK70" s="76" t="s">
        <v>146</v>
      </c>
      <c r="DL70" s="76" t="s">
        <v>146</v>
      </c>
      <c r="DM70" s="76" t="s">
        <v>146</v>
      </c>
      <c r="DN70" s="790"/>
    </row>
    <row r="71" spans="1:118" ht="105">
      <c r="A71" s="8">
        <v>69</v>
      </c>
      <c r="B71" s="49">
        <v>202609</v>
      </c>
      <c r="C71" s="50" t="s">
        <v>876</v>
      </c>
      <c r="D71" s="50" t="s">
        <v>174</v>
      </c>
      <c r="E71" s="51">
        <v>5817</v>
      </c>
      <c r="F71" s="54" t="s">
        <v>865</v>
      </c>
      <c r="G71" s="53" t="s">
        <v>157</v>
      </c>
      <c r="H71" s="95" t="s">
        <v>866</v>
      </c>
      <c r="I71" s="84" t="s">
        <v>867</v>
      </c>
      <c r="J71" s="60"/>
      <c r="K71" s="54" t="s">
        <v>877</v>
      </c>
      <c r="L71" s="53"/>
      <c r="M71" s="56" t="s">
        <v>878</v>
      </c>
      <c r="N71" s="57" t="s">
        <v>879</v>
      </c>
      <c r="O71" s="222" t="s">
        <v>146</v>
      </c>
      <c r="P71" s="96" t="s">
        <v>146</v>
      </c>
      <c r="Q71" s="60" t="s">
        <v>434</v>
      </c>
      <c r="R71" s="626" t="s">
        <v>661</v>
      </c>
      <c r="S71" s="55">
        <v>0</v>
      </c>
      <c r="T71" s="55">
        <v>40</v>
      </c>
      <c r="U71" s="55">
        <v>0</v>
      </c>
      <c r="V71" s="55">
        <v>0</v>
      </c>
      <c r="W71" s="55">
        <v>0</v>
      </c>
      <c r="X71" s="55">
        <v>0</v>
      </c>
      <c r="Y71" s="55">
        <v>0</v>
      </c>
      <c r="Z71" s="55">
        <v>40</v>
      </c>
      <c r="AA71" s="55">
        <v>20</v>
      </c>
      <c r="AB71" s="609">
        <v>100</v>
      </c>
      <c r="AC71" s="97" t="s">
        <v>199</v>
      </c>
      <c r="AD71" s="55" t="s">
        <v>190</v>
      </c>
      <c r="AE71" s="55" t="s">
        <v>146</v>
      </c>
      <c r="AF71" s="55" t="s">
        <v>142</v>
      </c>
      <c r="AG71" s="55" t="s">
        <v>142</v>
      </c>
      <c r="AH71" s="55">
        <v>2</v>
      </c>
      <c r="AI71" s="55">
        <v>15</v>
      </c>
      <c r="AJ71" s="713">
        <f>SUM(Sheet_1_Table_1_134[[#This Row],[ILP Units Per Session]]*Sheet_1_Table_1_134[[#This Row],[Quota]])</f>
        <v>30</v>
      </c>
      <c r="AK71" s="760">
        <v>46316</v>
      </c>
      <c r="AL71" s="64">
        <f>WEEKDAY(Sheet_1_Table_1_134[[#This Row],[Lesson 1 
Date 
(DD-MMM-YYYY)]])</f>
        <v>4</v>
      </c>
      <c r="AM71" s="552">
        <v>0.77083333333333337</v>
      </c>
      <c r="AN71" s="553">
        <v>0.85416666666666663</v>
      </c>
      <c r="AO71" s="707" t="s">
        <v>871</v>
      </c>
      <c r="AP71" s="555"/>
      <c r="AQ71" s="64" t="e">
        <f>WEEKDAY([6]!Sheet_1_Table_1_13[[#This Row],[Lesson 2
Date 
(DD-MMM-YYYY)]])</f>
        <v>#REF!</v>
      </c>
      <c r="AR71" s="65"/>
      <c r="AS71" s="66"/>
      <c r="AT71" s="126"/>
      <c r="AU71" s="63"/>
      <c r="AV71" s="64" t="e">
        <f>WEEKDAY([6]!Sheet_1_Table_1_13[[#This Row],[Lesson 3
Date 
(DD-MMM-YYYY)]])</f>
        <v>#REF!</v>
      </c>
      <c r="AW71" s="65"/>
      <c r="AX71" s="66"/>
      <c r="AY71" s="126"/>
      <c r="AZ71" s="98"/>
      <c r="BA71" s="64" t="e">
        <f>WEEKDAY([6]!Sheet_1_Table_1_13[[#This Row],[Lesson 4
Date 
(DD-MMM-YYYY)]])</f>
        <v>#REF!</v>
      </c>
      <c r="BB71" s="65"/>
      <c r="BC71" s="66"/>
      <c r="BD71" s="126"/>
      <c r="BE71" s="63"/>
      <c r="BF71" s="64" t="e">
        <f>WEEKDAY([6]!Sheet_1_Table_1_13[[#This Row],[Lesson 5
Date 
(DD-MMM-YYYY)]])</f>
        <v>#REF!</v>
      </c>
      <c r="BG71" s="65"/>
      <c r="BH71" s="66"/>
      <c r="BI71" s="126"/>
      <c r="BJ71" s="98"/>
      <c r="BK71" s="64" t="e">
        <f>WEEKDAY([6]!Sheet_1_Table_1_13[[#This Row],[Lesson 6
Date 
(DD-MMM-YYYY)]])</f>
        <v>#REF!</v>
      </c>
      <c r="BL71" s="65"/>
      <c r="BM71" s="66"/>
      <c r="BN71" s="99"/>
      <c r="BO71" s="54" t="s">
        <v>163</v>
      </c>
      <c r="BP71" s="69" t="s">
        <v>872</v>
      </c>
      <c r="BQ71" s="56" t="s">
        <v>490</v>
      </c>
      <c r="BR71" s="57" t="s">
        <v>873</v>
      </c>
      <c r="BS71" s="54"/>
      <c r="BT71" s="56"/>
      <c r="BU71" s="56"/>
      <c r="BV71" s="57"/>
      <c r="BW71" s="60"/>
      <c r="BX71" s="187"/>
      <c r="BY71" s="56" t="s">
        <v>149</v>
      </c>
      <c r="BZ71" s="56"/>
      <c r="CA71" s="56" t="s">
        <v>149</v>
      </c>
      <c r="CB71" s="72"/>
      <c r="CC71" s="72"/>
      <c r="CD71" s="72"/>
      <c r="CE71" s="60" t="s">
        <v>874</v>
      </c>
      <c r="CF71" s="507" t="s">
        <v>875</v>
      </c>
      <c r="CG71" s="56"/>
      <c r="CH71" s="57"/>
      <c r="CI71" s="55" t="s">
        <v>146</v>
      </c>
      <c r="CJ71" s="55" t="s">
        <v>142</v>
      </c>
      <c r="CK71" s="55" t="s">
        <v>142</v>
      </c>
      <c r="CL71" s="55" t="s">
        <v>142</v>
      </c>
      <c r="CM71" s="55" t="s">
        <v>146</v>
      </c>
      <c r="CN71" s="55" t="s">
        <v>142</v>
      </c>
      <c r="CO71" s="55" t="s">
        <v>142</v>
      </c>
      <c r="CP71" s="55" t="s">
        <v>142</v>
      </c>
      <c r="CQ71" s="55" t="s">
        <v>142</v>
      </c>
      <c r="CR71" s="55" t="s">
        <v>146</v>
      </c>
      <c r="CS71" s="55" t="s">
        <v>142</v>
      </c>
      <c r="CT71" s="55" t="s">
        <v>146</v>
      </c>
      <c r="CU71" s="55" t="s">
        <v>142</v>
      </c>
      <c r="CV71" s="55" t="s">
        <v>142</v>
      </c>
      <c r="CW71" s="55" t="s">
        <v>142</v>
      </c>
      <c r="CX71" s="55" t="s">
        <v>142</v>
      </c>
      <c r="CY71" s="55" t="s">
        <v>142</v>
      </c>
      <c r="CZ71" s="96" t="s">
        <v>142</v>
      </c>
      <c r="DA71" s="54" t="s">
        <v>154</v>
      </c>
      <c r="DB71" s="50" t="s">
        <v>155</v>
      </c>
      <c r="DC71" s="50" t="s">
        <v>156</v>
      </c>
      <c r="DD71" s="50" t="s">
        <v>146</v>
      </c>
      <c r="DE71" s="50" t="s">
        <v>157</v>
      </c>
      <c r="DF71" s="50" t="s">
        <v>146</v>
      </c>
      <c r="DG71" s="73"/>
      <c r="DH71" s="73"/>
      <c r="DI71" s="73"/>
      <c r="DJ71" s="73"/>
      <c r="DK71" s="217" t="s">
        <v>146</v>
      </c>
      <c r="DL71" s="217" t="s">
        <v>146</v>
      </c>
      <c r="DM71" s="217" t="s">
        <v>146</v>
      </c>
      <c r="DN71" s="790"/>
    </row>
    <row r="72" spans="1:118" ht="90">
      <c r="A72" s="8">
        <v>70</v>
      </c>
      <c r="B72" s="49">
        <v>202609</v>
      </c>
      <c r="C72" s="50" t="s">
        <v>880</v>
      </c>
      <c r="D72" s="50" t="s">
        <v>174</v>
      </c>
      <c r="E72" s="51">
        <v>5818</v>
      </c>
      <c r="F72" s="54" t="s">
        <v>865</v>
      </c>
      <c r="G72" s="53" t="s">
        <v>157</v>
      </c>
      <c r="H72" s="95" t="s">
        <v>866</v>
      </c>
      <c r="I72" s="84" t="s">
        <v>867</v>
      </c>
      <c r="J72" s="60"/>
      <c r="K72" s="54" t="s">
        <v>881</v>
      </c>
      <c r="L72" s="53"/>
      <c r="M72" s="56" t="s">
        <v>882</v>
      </c>
      <c r="N72" s="57" t="s">
        <v>883</v>
      </c>
      <c r="O72" s="222" t="s">
        <v>146</v>
      </c>
      <c r="P72" s="96" t="s">
        <v>146</v>
      </c>
      <c r="Q72" s="60" t="s">
        <v>434</v>
      </c>
      <c r="R72" s="626" t="s">
        <v>661</v>
      </c>
      <c r="S72" s="55">
        <v>0</v>
      </c>
      <c r="T72" s="55">
        <v>40</v>
      </c>
      <c r="U72" s="55">
        <v>0</v>
      </c>
      <c r="V72" s="55">
        <v>0</v>
      </c>
      <c r="W72" s="55">
        <v>0</v>
      </c>
      <c r="X72" s="55">
        <v>0</v>
      </c>
      <c r="Y72" s="55">
        <v>0</v>
      </c>
      <c r="Z72" s="55">
        <v>40</v>
      </c>
      <c r="AA72" s="55">
        <v>20</v>
      </c>
      <c r="AB72" s="609">
        <v>100</v>
      </c>
      <c r="AC72" s="97" t="s">
        <v>199</v>
      </c>
      <c r="AD72" s="55" t="s">
        <v>190</v>
      </c>
      <c r="AE72" s="55" t="s">
        <v>146</v>
      </c>
      <c r="AF72" s="55" t="s">
        <v>142</v>
      </c>
      <c r="AG72" s="55" t="s">
        <v>142</v>
      </c>
      <c r="AH72" s="55">
        <v>2</v>
      </c>
      <c r="AI72" s="55">
        <v>15</v>
      </c>
      <c r="AJ72" s="713">
        <f>SUM(Sheet_1_Table_1_134[[#This Row],[ILP Units Per Session]]*Sheet_1_Table_1_134[[#This Row],[Quota]])</f>
        <v>30</v>
      </c>
      <c r="AK72" s="760">
        <v>46322</v>
      </c>
      <c r="AL72" s="64">
        <f>WEEKDAY(Sheet_1_Table_1_134[[#This Row],[Lesson 1 
Date 
(DD-MMM-YYYY)]])</f>
        <v>3</v>
      </c>
      <c r="AM72" s="552">
        <v>0.72916666666666663</v>
      </c>
      <c r="AN72" s="553">
        <v>0.8125</v>
      </c>
      <c r="AO72" s="707" t="s">
        <v>884</v>
      </c>
      <c r="AP72" s="555"/>
      <c r="AQ72" s="64" t="e">
        <f>WEEKDAY([6]!Sheet_1_Table_1_13[[#This Row],[Lesson 2
Date 
(DD-MMM-YYYY)]])</f>
        <v>#REF!</v>
      </c>
      <c r="AR72" s="65"/>
      <c r="AS72" s="66"/>
      <c r="AT72" s="126"/>
      <c r="AU72" s="63"/>
      <c r="AV72" s="64" t="e">
        <f>WEEKDAY([6]!Sheet_1_Table_1_13[[#This Row],[Lesson 3
Date 
(DD-MMM-YYYY)]])</f>
        <v>#REF!</v>
      </c>
      <c r="AW72" s="65"/>
      <c r="AX72" s="66"/>
      <c r="AY72" s="126"/>
      <c r="AZ72" s="98"/>
      <c r="BA72" s="64" t="e">
        <f>WEEKDAY([6]!Sheet_1_Table_1_13[[#This Row],[Lesson 4
Date 
(DD-MMM-YYYY)]])</f>
        <v>#REF!</v>
      </c>
      <c r="BB72" s="65"/>
      <c r="BC72" s="66"/>
      <c r="BD72" s="126"/>
      <c r="BE72" s="63"/>
      <c r="BF72" s="64" t="e">
        <f>WEEKDAY([6]!Sheet_1_Table_1_13[[#This Row],[Lesson 5
Date 
(DD-MMM-YYYY)]])</f>
        <v>#REF!</v>
      </c>
      <c r="BG72" s="65"/>
      <c r="BH72" s="66"/>
      <c r="BI72" s="126"/>
      <c r="BJ72" s="98"/>
      <c r="BK72" s="64" t="e">
        <f>WEEKDAY([6]!Sheet_1_Table_1_13[[#This Row],[Lesson 6
Date 
(DD-MMM-YYYY)]])</f>
        <v>#REF!</v>
      </c>
      <c r="BL72" s="65"/>
      <c r="BM72" s="66"/>
      <c r="BN72" s="99"/>
      <c r="BO72" s="54" t="s">
        <v>163</v>
      </c>
      <c r="BP72" s="69" t="s">
        <v>872</v>
      </c>
      <c r="BQ72" s="56" t="s">
        <v>490</v>
      </c>
      <c r="BR72" s="57" t="s">
        <v>873</v>
      </c>
      <c r="BS72" s="54"/>
      <c r="BT72" s="56"/>
      <c r="BU72" s="56"/>
      <c r="BV72" s="57"/>
      <c r="BW72" s="60"/>
      <c r="BX72" s="187"/>
      <c r="BY72" s="56" t="s">
        <v>149</v>
      </c>
      <c r="BZ72" s="56"/>
      <c r="CA72" s="56" t="s">
        <v>149</v>
      </c>
      <c r="CB72" s="72"/>
      <c r="CC72" s="72"/>
      <c r="CD72" s="72"/>
      <c r="CE72" s="60" t="s">
        <v>874</v>
      </c>
      <c r="CF72" s="507" t="s">
        <v>875</v>
      </c>
      <c r="CG72" s="56"/>
      <c r="CH72" s="57"/>
      <c r="CI72" s="55" t="s">
        <v>146</v>
      </c>
      <c r="CJ72" s="55" t="s">
        <v>142</v>
      </c>
      <c r="CK72" s="55" t="s">
        <v>142</v>
      </c>
      <c r="CL72" s="55" t="s">
        <v>142</v>
      </c>
      <c r="CM72" s="55" t="s">
        <v>146</v>
      </c>
      <c r="CN72" s="55" t="s">
        <v>142</v>
      </c>
      <c r="CO72" s="55" t="s">
        <v>142</v>
      </c>
      <c r="CP72" s="55" t="s">
        <v>142</v>
      </c>
      <c r="CQ72" s="55" t="s">
        <v>142</v>
      </c>
      <c r="CR72" s="55" t="s">
        <v>146</v>
      </c>
      <c r="CS72" s="55" t="s">
        <v>142</v>
      </c>
      <c r="CT72" s="55" t="s">
        <v>146</v>
      </c>
      <c r="CU72" s="55" t="s">
        <v>142</v>
      </c>
      <c r="CV72" s="55" t="s">
        <v>142</v>
      </c>
      <c r="CW72" s="55" t="s">
        <v>142</v>
      </c>
      <c r="CX72" s="55" t="s">
        <v>142</v>
      </c>
      <c r="CY72" s="55" t="s">
        <v>142</v>
      </c>
      <c r="CZ72" s="96" t="s">
        <v>142</v>
      </c>
      <c r="DA72" s="54" t="s">
        <v>154</v>
      </c>
      <c r="DB72" s="50" t="s">
        <v>155</v>
      </c>
      <c r="DC72" s="50" t="s">
        <v>156</v>
      </c>
      <c r="DD72" s="50" t="s">
        <v>146</v>
      </c>
      <c r="DE72" s="50" t="s">
        <v>157</v>
      </c>
      <c r="DF72" s="50" t="s">
        <v>146</v>
      </c>
      <c r="DG72" s="73"/>
      <c r="DH72" s="73"/>
      <c r="DI72" s="73"/>
      <c r="DJ72" s="73"/>
      <c r="DK72" s="217" t="s">
        <v>146</v>
      </c>
      <c r="DL72" s="217" t="s">
        <v>146</v>
      </c>
      <c r="DM72" s="217" t="s">
        <v>146</v>
      </c>
      <c r="DN72" s="790"/>
    </row>
    <row r="73" spans="1:118" ht="120">
      <c r="A73" s="8">
        <v>71</v>
      </c>
      <c r="B73" s="49">
        <v>202609</v>
      </c>
      <c r="C73" s="50" t="s">
        <v>885</v>
      </c>
      <c r="D73" s="50" t="s">
        <v>174</v>
      </c>
      <c r="E73" s="51">
        <v>5819</v>
      </c>
      <c r="F73" s="54" t="s">
        <v>865</v>
      </c>
      <c r="G73" s="53" t="s">
        <v>157</v>
      </c>
      <c r="H73" s="95" t="s">
        <v>866</v>
      </c>
      <c r="I73" s="84" t="s">
        <v>867</v>
      </c>
      <c r="J73" s="60"/>
      <c r="K73" s="54" t="s">
        <v>886</v>
      </c>
      <c r="L73" s="53"/>
      <c r="M73" s="56" t="s">
        <v>887</v>
      </c>
      <c r="N73" s="57" t="s">
        <v>888</v>
      </c>
      <c r="O73" s="222" t="s">
        <v>146</v>
      </c>
      <c r="P73" s="96" t="s">
        <v>146</v>
      </c>
      <c r="Q73" s="60" t="s">
        <v>434</v>
      </c>
      <c r="R73" s="626" t="s">
        <v>661</v>
      </c>
      <c r="S73" s="55">
        <v>20</v>
      </c>
      <c r="T73" s="55">
        <v>40</v>
      </c>
      <c r="U73" s="55">
        <v>0</v>
      </c>
      <c r="V73" s="55">
        <v>0</v>
      </c>
      <c r="W73" s="55">
        <v>20</v>
      </c>
      <c r="X73" s="55">
        <v>0</v>
      </c>
      <c r="Y73" s="55">
        <v>0</v>
      </c>
      <c r="Z73" s="55">
        <v>0</v>
      </c>
      <c r="AA73" s="55">
        <v>20</v>
      </c>
      <c r="AB73" s="609">
        <v>100</v>
      </c>
      <c r="AC73" s="97" t="s">
        <v>199</v>
      </c>
      <c r="AD73" s="55" t="s">
        <v>190</v>
      </c>
      <c r="AE73" s="55" t="s">
        <v>146</v>
      </c>
      <c r="AF73" s="55" t="s">
        <v>142</v>
      </c>
      <c r="AG73" s="55" t="s">
        <v>142</v>
      </c>
      <c r="AH73" s="55">
        <v>2</v>
      </c>
      <c r="AI73" s="55">
        <v>15</v>
      </c>
      <c r="AJ73" s="713">
        <f>SUM(Sheet_1_Table_1_134[[#This Row],[ILP Units Per Session]]*Sheet_1_Table_1_134[[#This Row],[Quota]])</f>
        <v>30</v>
      </c>
      <c r="AK73" s="760">
        <v>46324</v>
      </c>
      <c r="AL73" s="64">
        <f>WEEKDAY(Sheet_1_Table_1_134[[#This Row],[Lesson 1 
Date 
(DD-MMM-YYYY)]])</f>
        <v>5</v>
      </c>
      <c r="AM73" s="552">
        <v>0.75</v>
      </c>
      <c r="AN73" s="553">
        <v>0.83333333333333337</v>
      </c>
      <c r="AO73" s="707" t="s">
        <v>871</v>
      </c>
      <c r="AP73" s="555"/>
      <c r="AQ73" s="64" t="e">
        <f>WEEKDAY([6]!Sheet_1_Table_1_13[[#This Row],[Lesson 2
Date 
(DD-MMM-YYYY)]])</f>
        <v>#REF!</v>
      </c>
      <c r="AR73" s="65"/>
      <c r="AS73" s="66"/>
      <c r="AT73" s="126"/>
      <c r="AU73" s="63"/>
      <c r="AV73" s="64" t="e">
        <f>WEEKDAY([6]!Sheet_1_Table_1_13[[#This Row],[Lesson 3
Date 
(DD-MMM-YYYY)]])</f>
        <v>#REF!</v>
      </c>
      <c r="AW73" s="65"/>
      <c r="AX73" s="66"/>
      <c r="AY73" s="126"/>
      <c r="AZ73" s="98"/>
      <c r="BA73" s="64" t="e">
        <f>WEEKDAY([6]!Sheet_1_Table_1_13[[#This Row],[Lesson 4
Date 
(DD-MMM-YYYY)]])</f>
        <v>#REF!</v>
      </c>
      <c r="BB73" s="65"/>
      <c r="BC73" s="66"/>
      <c r="BD73" s="126"/>
      <c r="BE73" s="63"/>
      <c r="BF73" s="64" t="e">
        <f>WEEKDAY([6]!Sheet_1_Table_1_13[[#This Row],[Lesson 5
Date 
(DD-MMM-YYYY)]])</f>
        <v>#REF!</v>
      </c>
      <c r="BG73" s="65"/>
      <c r="BH73" s="66"/>
      <c r="BI73" s="126"/>
      <c r="BJ73" s="98"/>
      <c r="BK73" s="64" t="e">
        <f>WEEKDAY([6]!Sheet_1_Table_1_13[[#This Row],[Lesson 6
Date 
(DD-MMM-YYYY)]])</f>
        <v>#REF!</v>
      </c>
      <c r="BL73" s="65"/>
      <c r="BM73" s="66"/>
      <c r="BN73" s="99"/>
      <c r="BO73" s="54" t="s">
        <v>163</v>
      </c>
      <c r="BP73" s="69" t="s">
        <v>872</v>
      </c>
      <c r="BQ73" s="56" t="s">
        <v>490</v>
      </c>
      <c r="BR73" s="57" t="s">
        <v>873</v>
      </c>
      <c r="BS73" s="54"/>
      <c r="BT73" s="56"/>
      <c r="BU73" s="56"/>
      <c r="BV73" s="57"/>
      <c r="BW73" s="60"/>
      <c r="BX73" s="187"/>
      <c r="BY73" s="56" t="s">
        <v>184</v>
      </c>
      <c r="BZ73" s="56"/>
      <c r="CA73" s="56" t="s">
        <v>184</v>
      </c>
      <c r="CB73" s="72"/>
      <c r="CC73" s="72"/>
      <c r="CD73" s="72"/>
      <c r="CE73" s="60" t="s">
        <v>874</v>
      </c>
      <c r="CF73" s="507" t="s">
        <v>875</v>
      </c>
      <c r="CG73" s="56"/>
      <c r="CH73" s="57"/>
      <c r="CI73" s="55" t="s">
        <v>146</v>
      </c>
      <c r="CJ73" s="55" t="s">
        <v>142</v>
      </c>
      <c r="CK73" s="55" t="s">
        <v>142</v>
      </c>
      <c r="CL73" s="55" t="s">
        <v>142</v>
      </c>
      <c r="CM73" s="55" t="s">
        <v>146</v>
      </c>
      <c r="CN73" s="55" t="s">
        <v>142</v>
      </c>
      <c r="CO73" s="55" t="s">
        <v>142</v>
      </c>
      <c r="CP73" s="55" t="s">
        <v>142</v>
      </c>
      <c r="CQ73" s="55" t="s">
        <v>142</v>
      </c>
      <c r="CR73" s="55" t="s">
        <v>146</v>
      </c>
      <c r="CS73" s="55" t="s">
        <v>142</v>
      </c>
      <c r="CT73" s="55" t="s">
        <v>146</v>
      </c>
      <c r="CU73" s="55" t="s">
        <v>142</v>
      </c>
      <c r="CV73" s="55" t="s">
        <v>142</v>
      </c>
      <c r="CW73" s="55" t="s">
        <v>142</v>
      </c>
      <c r="CX73" s="55" t="s">
        <v>142</v>
      </c>
      <c r="CY73" s="55" t="s">
        <v>142</v>
      </c>
      <c r="CZ73" s="96" t="s">
        <v>142</v>
      </c>
      <c r="DA73" s="54" t="s">
        <v>154</v>
      </c>
      <c r="DB73" s="50" t="s">
        <v>155</v>
      </c>
      <c r="DC73" s="50" t="s">
        <v>156</v>
      </c>
      <c r="DD73" s="50" t="s">
        <v>146</v>
      </c>
      <c r="DE73" s="50" t="s">
        <v>157</v>
      </c>
      <c r="DF73" s="50" t="s">
        <v>146</v>
      </c>
      <c r="DG73" s="73"/>
      <c r="DH73" s="73"/>
      <c r="DI73" s="73"/>
      <c r="DJ73" s="73"/>
      <c r="DK73" s="76" t="s">
        <v>146</v>
      </c>
      <c r="DL73" s="76" t="s">
        <v>146</v>
      </c>
      <c r="DM73" s="76" t="s">
        <v>146</v>
      </c>
      <c r="DN73" s="790"/>
    </row>
    <row r="74" spans="1:118" ht="195">
      <c r="A74" s="8">
        <v>72</v>
      </c>
      <c r="B74" s="579">
        <v>202609</v>
      </c>
      <c r="C74" s="577" t="s">
        <v>889</v>
      </c>
      <c r="D74" s="577" t="s">
        <v>890</v>
      </c>
      <c r="E74" s="581">
        <v>5820</v>
      </c>
      <c r="F74" s="576" t="s">
        <v>865</v>
      </c>
      <c r="G74" s="595" t="s">
        <v>157</v>
      </c>
      <c r="H74" s="95" t="s">
        <v>866</v>
      </c>
      <c r="I74" s="301" t="s">
        <v>867</v>
      </c>
      <c r="J74" s="558"/>
      <c r="K74" s="576" t="s">
        <v>891</v>
      </c>
      <c r="L74" s="595"/>
      <c r="M74" s="560" t="s">
        <v>892</v>
      </c>
      <c r="N74" s="298" t="s">
        <v>893</v>
      </c>
      <c r="O74" s="625" t="s">
        <v>146</v>
      </c>
      <c r="P74" s="575" t="s">
        <v>146</v>
      </c>
      <c r="Q74" s="558" t="s">
        <v>434</v>
      </c>
      <c r="R74" s="626" t="s">
        <v>661</v>
      </c>
      <c r="S74" s="562">
        <v>0</v>
      </c>
      <c r="T74" s="562">
        <v>40</v>
      </c>
      <c r="U74" s="562">
        <v>0</v>
      </c>
      <c r="V74" s="562">
        <v>0</v>
      </c>
      <c r="W74" s="562">
        <v>0</v>
      </c>
      <c r="X74" s="562">
        <v>0</v>
      </c>
      <c r="Y74" s="562">
        <v>0</v>
      </c>
      <c r="Z74" s="562">
        <v>40</v>
      </c>
      <c r="AA74" s="562">
        <v>20</v>
      </c>
      <c r="AB74" s="609">
        <v>100</v>
      </c>
      <c r="AC74" s="295" t="s">
        <v>199</v>
      </c>
      <c r="AD74" s="562" t="s">
        <v>190</v>
      </c>
      <c r="AE74" s="562" t="s">
        <v>146</v>
      </c>
      <c r="AF74" s="562" t="s">
        <v>142</v>
      </c>
      <c r="AG74" s="562" t="s">
        <v>142</v>
      </c>
      <c r="AH74" s="562">
        <v>4</v>
      </c>
      <c r="AI74" s="562">
        <v>30</v>
      </c>
      <c r="AJ74" s="713">
        <f>SUM(Sheet_1_Table_1_134[[#This Row],[ILP Units Per Session]]*Sheet_1_Table_1_134[[#This Row],[Quota]])</f>
        <v>120</v>
      </c>
      <c r="AK74" s="760">
        <v>46310</v>
      </c>
      <c r="AL74" s="64">
        <f>WEEKDAY(Sheet_1_Table_1_134[[#This Row],[Lesson 1 
Date 
(DD-MMM-YYYY)]])</f>
        <v>5</v>
      </c>
      <c r="AM74" s="761">
        <v>0.75</v>
      </c>
      <c r="AN74" s="611">
        <v>0.83333333333333337</v>
      </c>
      <c r="AO74" s="627" t="s">
        <v>871</v>
      </c>
      <c r="AP74" s="585">
        <v>46317</v>
      </c>
      <c r="AQ74" s="586">
        <f>WEEKDAY(Sheet_1_Table_1_134[[#This Row],[Lesson 2
Date 
(DD-MMM-YYYY)]])</f>
        <v>5</v>
      </c>
      <c r="AR74" s="565">
        <v>0.75</v>
      </c>
      <c r="AS74" s="583">
        <v>0.83333333333333337</v>
      </c>
      <c r="AT74" s="584" t="s">
        <v>871</v>
      </c>
      <c r="AU74" s="582"/>
      <c r="AV74" s="586" t="e">
        <f>WEEKDAY([6]!Sheet_1_Table_1_13[[#This Row],[Lesson 3
Date 
(DD-MMM-YYYY)]])</f>
        <v>#REF!</v>
      </c>
      <c r="AW74" s="565"/>
      <c r="AX74" s="583"/>
      <c r="AY74" s="584"/>
      <c r="AZ74" s="587"/>
      <c r="BA74" s="586" t="e">
        <f>WEEKDAY([6]!Sheet_1_Table_1_13[[#This Row],[Lesson 4
Date 
(DD-MMM-YYYY)]])</f>
        <v>#REF!</v>
      </c>
      <c r="BB74" s="565"/>
      <c r="BC74" s="583"/>
      <c r="BD74" s="584"/>
      <c r="BE74" s="582"/>
      <c r="BF74" s="586" t="e">
        <f>WEEKDAY([6]!Sheet_1_Table_1_13[[#This Row],[Lesson 5
Date 
(DD-MMM-YYYY)]])</f>
        <v>#REF!</v>
      </c>
      <c r="BG74" s="565"/>
      <c r="BH74" s="583"/>
      <c r="BI74" s="584"/>
      <c r="BJ74" s="587"/>
      <c r="BK74" s="586" t="e">
        <f>WEEKDAY([6]!Sheet_1_Table_1_13[[#This Row],[Lesson 6
Date 
(DD-MMM-YYYY)]])</f>
        <v>#REF!</v>
      </c>
      <c r="BL74" s="565"/>
      <c r="BM74" s="583"/>
      <c r="BN74" s="588"/>
      <c r="BO74" s="576" t="s">
        <v>163</v>
      </c>
      <c r="BP74" s="559" t="s">
        <v>872</v>
      </c>
      <c r="BQ74" s="560" t="s">
        <v>490</v>
      </c>
      <c r="BR74" s="298" t="s">
        <v>873</v>
      </c>
      <c r="BS74" s="576" t="s">
        <v>293</v>
      </c>
      <c r="BT74" s="560" t="s">
        <v>894</v>
      </c>
      <c r="BU74" s="560" t="s">
        <v>895</v>
      </c>
      <c r="BV74" s="298" t="s">
        <v>896</v>
      </c>
      <c r="BW74" s="558">
        <v>100</v>
      </c>
      <c r="BX74" s="615">
        <v>200</v>
      </c>
      <c r="BY74" s="560"/>
      <c r="BZ74" s="560"/>
      <c r="CA74" s="560" t="s">
        <v>897</v>
      </c>
      <c r="CB74" s="590"/>
      <c r="CC74" s="590"/>
      <c r="CD74" s="590"/>
      <c r="CE74" s="558" t="s">
        <v>874</v>
      </c>
      <c r="CF74" s="572" t="s">
        <v>875</v>
      </c>
      <c r="CG74" s="560"/>
      <c r="CH74" s="298"/>
      <c r="CI74" s="562" t="s">
        <v>146</v>
      </c>
      <c r="CJ74" s="562" t="s">
        <v>142</v>
      </c>
      <c r="CK74" s="562" t="s">
        <v>142</v>
      </c>
      <c r="CL74" s="562" t="s">
        <v>142</v>
      </c>
      <c r="CM74" s="562" t="s">
        <v>146</v>
      </c>
      <c r="CN74" s="562" t="s">
        <v>142</v>
      </c>
      <c r="CO74" s="562" t="s">
        <v>142</v>
      </c>
      <c r="CP74" s="562" t="s">
        <v>142</v>
      </c>
      <c r="CQ74" s="562" t="s">
        <v>142</v>
      </c>
      <c r="CR74" s="562" t="s">
        <v>146</v>
      </c>
      <c r="CS74" s="562" t="s">
        <v>142</v>
      </c>
      <c r="CT74" s="562" t="s">
        <v>146</v>
      </c>
      <c r="CU74" s="562" t="s">
        <v>142</v>
      </c>
      <c r="CV74" s="562" t="s">
        <v>142</v>
      </c>
      <c r="CW74" s="562" t="s">
        <v>142</v>
      </c>
      <c r="CX74" s="562" t="s">
        <v>142</v>
      </c>
      <c r="CY74" s="562" t="s">
        <v>142</v>
      </c>
      <c r="CZ74" s="575" t="s">
        <v>142</v>
      </c>
      <c r="DA74" s="576" t="s">
        <v>154</v>
      </c>
      <c r="DB74" s="577" t="s">
        <v>155</v>
      </c>
      <c r="DC74" s="577" t="s">
        <v>156</v>
      </c>
      <c r="DD74" s="577" t="s">
        <v>146</v>
      </c>
      <c r="DE74" s="577" t="s">
        <v>157</v>
      </c>
      <c r="DF74" s="577" t="s">
        <v>146</v>
      </c>
      <c r="DG74" s="578"/>
      <c r="DH74" s="578"/>
      <c r="DI74" s="578"/>
      <c r="DJ74" s="578"/>
      <c r="DK74" s="618" t="s">
        <v>146</v>
      </c>
      <c r="DL74" s="618" t="s">
        <v>146</v>
      </c>
      <c r="DM74" s="618" t="s">
        <v>146</v>
      </c>
      <c r="DN74" s="790" t="s">
        <v>2234</v>
      </c>
    </row>
  </sheetData>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K61">
    <cfRule type="cellIs" dxfId="99" priority="26" operator="greaterThan">
      <formula>0</formula>
    </cfRule>
  </conditionalFormatting>
  <conditionalFormatting sqref="K63">
    <cfRule type="cellIs" dxfId="98" priority="18" operator="greaterThan">
      <formula>0</formula>
    </cfRule>
  </conditionalFormatting>
  <conditionalFormatting sqref="K68:K70">
    <cfRule type="cellIs" dxfId="97" priority="7" operator="greaterThan">
      <formula>0</formula>
    </cfRule>
  </conditionalFormatting>
  <conditionalFormatting sqref="K58:L60">
    <cfRule type="cellIs" dxfId="96" priority="28" operator="greaterThan">
      <formula>0</formula>
    </cfRule>
  </conditionalFormatting>
  <conditionalFormatting sqref="K62:L62">
    <cfRule type="cellIs" dxfId="95" priority="22" operator="greaterThan">
      <formula>0</formula>
    </cfRule>
  </conditionalFormatting>
  <conditionalFormatting sqref="K64:L67">
    <cfRule type="cellIs" dxfId="94" priority="17" operator="greaterThan">
      <formula>0</formula>
    </cfRule>
  </conditionalFormatting>
  <conditionalFormatting sqref="K71:L74">
    <cfRule type="cellIs" dxfId="93" priority="5" operator="greaterThan">
      <formula>0</formula>
    </cfRule>
  </conditionalFormatting>
  <conditionalFormatting sqref="L3:L8">
    <cfRule type="cellIs" dxfId="92" priority="38" operator="greaterThan">
      <formula>0</formula>
    </cfRule>
  </conditionalFormatting>
  <conditionalFormatting sqref="L52:L55">
    <cfRule type="cellIs" dxfId="91" priority="33" operator="greaterThan">
      <formula>0</formula>
    </cfRule>
  </conditionalFormatting>
  <conditionalFormatting sqref="S3:AA74 J66">
    <cfRule type="cellIs" dxfId="90" priority="15" operator="greaterThan">
      <formula>0</formula>
    </cfRule>
  </conditionalFormatting>
  <conditionalFormatting sqref="AB3:AB74">
    <cfRule type="cellIs" dxfId="89" priority="3" operator="notEqual">
      <formula>100</formula>
    </cfRule>
    <cfRule type="cellIs" dxfId="88" priority="4" operator="equal">
      <formula>100</formula>
    </cfRule>
  </conditionalFormatting>
  <conditionalFormatting sqref="AE3:AG74 CI3:CZ74 DI3:DJ74">
    <cfRule type="containsText" dxfId="87" priority="1" operator="containsText" text="Y">
      <formula>NOT(ISERROR(SEARCH("Y",AE3)))</formula>
    </cfRule>
  </conditionalFormatting>
  <conditionalFormatting sqref="CE45:CH45 CG46:CH46 CE47:CH47">
    <cfRule type="containsText" dxfId="86" priority="36" operator="containsText" text="Y">
      <formula>NOT(ISERROR(SEARCH("Y",CE45)))</formula>
    </cfRule>
  </conditionalFormatting>
  <hyperlinks>
    <hyperlink ref="CH9" r:id="rId1" xr:uid="{3E643BB7-C418-40CD-A7FB-F2392842EEF0}"/>
    <hyperlink ref="CH40" r:id="rId2" xr:uid="{F423281C-AA44-4637-95A5-21173F08E6D4}"/>
    <hyperlink ref="CH10" r:id="rId3" xr:uid="{F310076E-6566-4611-9A6F-0F93B834D9C4}"/>
    <hyperlink ref="CH33" r:id="rId4" xr:uid="{252AE59F-5E9F-4A78-9C63-79F672BD75AA}"/>
    <hyperlink ref="CH4" r:id="rId5" xr:uid="{76B8A2CA-58E6-444A-AA85-18818C107F30}"/>
    <hyperlink ref="CH39" r:id="rId6" xr:uid="{25E93D3F-93C1-4E89-9FB8-7ED0F8A049BB}"/>
    <hyperlink ref="CH20" r:id="rId7" xr:uid="{EF849FBA-F16D-4C20-AE2C-00CA07A4C85C}"/>
    <hyperlink ref="CH36" r:id="rId8" xr:uid="{19DB6E3F-D99D-427C-92F5-348523733811}"/>
    <hyperlink ref="CH51" r:id="rId9" xr:uid="{1368979D-7380-4352-B536-5011083128AA}"/>
    <hyperlink ref="CH42" r:id="rId10" xr:uid="{A7682591-09D3-4557-A697-5C90A9FC8BE2}"/>
    <hyperlink ref="CB3" r:id="rId11" xr:uid="{18713936-6849-4908-BB90-7DF86980B6A6}"/>
    <hyperlink ref="CF52" r:id="rId12" xr:uid="{CB2C8721-0BD7-4594-8205-92A333203464}"/>
    <hyperlink ref="CH52" r:id="rId13" xr:uid="{78D34E55-DE41-4628-A3C3-343A2A8DDD48}"/>
    <hyperlink ref="CB52" r:id="rId14" xr:uid="{EE772228-A084-4585-B7D8-15F331716510}"/>
    <hyperlink ref="CF53" r:id="rId15" xr:uid="{D874B190-6D3B-4344-8DA4-66EC175CEEA2}"/>
    <hyperlink ref="CH53" r:id="rId16" xr:uid="{113130C8-254F-40A6-B8F0-832AF09B237C}"/>
    <hyperlink ref="CF54" r:id="rId17" xr:uid="{185BD0AF-3FC4-4BC3-BE0F-AB31B408BE2E}"/>
    <hyperlink ref="CH54" r:id="rId18" xr:uid="{7888C7A0-4119-4D84-BB37-DE09F2941718}"/>
    <hyperlink ref="CB54" r:id="rId19" xr:uid="{A0620F29-3EB9-4CEC-A246-5E8B6B25282B}"/>
    <hyperlink ref="CF55" r:id="rId20" xr:uid="{A738F3F5-FB89-426A-B040-F7710C45BC0B}"/>
    <hyperlink ref="CH55" r:id="rId21" xr:uid="{6A16192F-0BF5-4037-A9F6-F8EE754E2532}"/>
    <hyperlink ref="CB55" r:id="rId22" xr:uid="{9FE0EFFD-1FFB-4E62-BE01-CF49C1EF874B}"/>
    <hyperlink ref="CF56" r:id="rId23" xr:uid="{D80BF482-0C73-41FE-A5C2-1B0F002D7462}"/>
    <hyperlink ref="CH56" r:id="rId24" xr:uid="{C4BD62E9-68DE-46AE-8F03-A9CF34D21922}"/>
    <hyperlink ref="CF57" r:id="rId25" xr:uid="{52EF29EF-A480-47F6-9BC6-CDB9E67D84FC}"/>
    <hyperlink ref="CH57" r:id="rId26" xr:uid="{C00F8D97-9861-4EEC-B655-EBE46A3D0A12}"/>
    <hyperlink ref="CF58" r:id="rId27" xr:uid="{A3B97163-7169-4B26-A046-FA3A1BA2CAE8}"/>
    <hyperlink ref="CH58" r:id="rId28" xr:uid="{67CB995F-6C1D-4C1F-A117-095B405AD303}"/>
    <hyperlink ref="CF59" r:id="rId29" xr:uid="{0A7E4CF0-5509-4DF1-9166-B651BB34D021}"/>
    <hyperlink ref="CF60" r:id="rId30" xr:uid="{55D2951F-8527-401A-A2F9-D6CF466AB7C4}"/>
    <hyperlink ref="CF61" r:id="rId31" xr:uid="{A96F8997-D83F-412E-93BE-D3363197438E}"/>
    <hyperlink ref="CH59" r:id="rId32" xr:uid="{5DB3BCE7-4834-4363-8BC9-A9D21C60AC40}"/>
    <hyperlink ref="CH60" r:id="rId33" xr:uid="{3A8F8323-AADD-4AC4-8A4C-1B8CC4D46A15}"/>
    <hyperlink ref="CH61" r:id="rId34" xr:uid="{86F32D44-358C-441D-B6F3-4DFF382C5F5B}"/>
    <hyperlink ref="CF62" r:id="rId35" xr:uid="{8D6C7043-8814-4B43-BA5F-699141D3647F}"/>
    <hyperlink ref="CF63" r:id="rId36" display="mailto:shanghuang@ln.edu.hk" xr:uid="{91B8FE9C-4113-4665-A154-E10203C2B654}"/>
    <hyperlink ref="CH63" r:id="rId37" display="mailto:racekuku@ln.edu.hk" xr:uid="{11A79C92-A5C5-47B7-BED1-FF8AEBCDAE6A}"/>
    <hyperlink ref="CF64" r:id="rId38" display="mailto:shanghuang@ln.edu.hk" xr:uid="{64C49989-3212-47E6-90C6-1D65B861DE7E}"/>
    <hyperlink ref="CF65" r:id="rId39" display="mailto:shanghuang@ln.edu.hk" xr:uid="{13157B41-2492-4961-95C0-78DF59072BF6}"/>
    <hyperlink ref="CF66" r:id="rId40" display="mailto:shanghuang@ln.edu.hk" xr:uid="{A943DC7B-0D42-409D-AEA1-D8573AC42A30}"/>
    <hyperlink ref="CF67" r:id="rId41" display="mailto:shanghuang@ln.edu.hk" xr:uid="{B5575502-7C16-4EEE-9674-F499D4697852}"/>
    <hyperlink ref="CF68" r:id="rId42" display="mailto:shanghuang@ln.edu.hk" xr:uid="{7BF9F693-5204-43F3-929D-42686611CFFE}"/>
    <hyperlink ref="CH64" r:id="rId43" display="mailto:racekuku@ln.edu.hk" xr:uid="{0A443D6F-3763-4053-ADF7-61E6C8EF7DA4}"/>
    <hyperlink ref="CH65" r:id="rId44" display="mailto:racekuku@ln.edu.hk" xr:uid="{DB4EFFD9-8699-4518-B713-4EB57D2F2EDF}"/>
    <hyperlink ref="CH66" r:id="rId45" display="mailto:racekuku@ln.edu.hk" xr:uid="{EF6892F9-CBE8-4535-8CAD-73F478D04D0A}"/>
    <hyperlink ref="CH67" r:id="rId46" display="mailto:racekuku@ln.edu.hk" xr:uid="{4630306C-D543-4877-8739-0D7870B37E7A}"/>
    <hyperlink ref="CH68" r:id="rId47" display="mailto:racekuku@ln.edu.hk" xr:uid="{EE7C69ED-EF5B-4E36-BA3C-FF4BF061D7A6}"/>
    <hyperlink ref="CF69" r:id="rId48" xr:uid="{79103107-4F0D-4C5E-9E61-746D61193BC2}"/>
    <hyperlink ref="CH69" r:id="rId49" xr:uid="{AB16A617-756F-47B6-B29B-BE1F01879A96}"/>
    <hyperlink ref="CF70" r:id="rId50" xr:uid="{BC2E7BCB-BAD5-4DC7-8D37-EBEF4517D74C}"/>
    <hyperlink ref="CF71" r:id="rId51" xr:uid="{771CDA70-0D46-4DEE-8188-48B5D06F4FF0}"/>
    <hyperlink ref="CF72" r:id="rId52" xr:uid="{2420294C-5960-45A0-98F5-4F1CAAB325B9}"/>
    <hyperlink ref="CF73" r:id="rId53" xr:uid="{4E395501-31CC-4C56-8C7F-585492CFED2F}"/>
    <hyperlink ref="CF74" r:id="rId54" xr:uid="{D7D75682-2B2F-48C6-ADD2-0AABA79674A4}"/>
  </hyperlinks>
  <pageMargins left="0.7" right="0.7" top="0.75" bottom="0.75" header="0.3" footer="0.3"/>
  <pageSetup paperSize="9" scale="27" fitToWidth="0" orientation="portrait" r:id="rId55"/>
  <tableParts count="1">
    <tablePart r:id="rId5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B5410-AF59-4975-9E54-47A5CE1E0502}">
  <sheetPr>
    <pageSetUpPr fitToPage="1"/>
  </sheetPr>
  <dimension ref="A1:EZ46"/>
  <sheetViews>
    <sheetView topLeftCell="CS1" zoomScaleNormal="100" workbookViewId="0">
      <selection activeCell="DN2" sqref="DN2"/>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style="159" customWidth="1"/>
    <col min="9" max="10" width="30.7109375" style="3" customWidth="1"/>
    <col min="11" max="11" width="35.7109375" style="3"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80" t="s">
        <v>0</v>
      </c>
      <c r="C1" s="878"/>
      <c r="D1" s="878"/>
      <c r="E1" s="874"/>
      <c r="F1" s="2"/>
      <c r="G1" s="2"/>
      <c r="H1" s="873" t="s">
        <v>1</v>
      </c>
      <c r="I1" s="874"/>
      <c r="K1" s="873" t="s">
        <v>2</v>
      </c>
      <c r="L1" s="874"/>
      <c r="M1" s="4"/>
      <c r="N1" s="4"/>
      <c r="O1" s="875" t="s">
        <v>3</v>
      </c>
      <c r="P1" s="877"/>
      <c r="Q1" s="873" t="s">
        <v>4</v>
      </c>
      <c r="R1" s="874"/>
      <c r="S1" s="873" t="s">
        <v>5</v>
      </c>
      <c r="T1" s="878"/>
      <c r="U1" s="878"/>
      <c r="V1" s="878"/>
      <c r="W1" s="878"/>
      <c r="X1" s="878"/>
      <c r="Y1" s="878"/>
      <c r="Z1" s="878"/>
      <c r="AA1" s="878"/>
      <c r="AB1" s="874"/>
      <c r="AD1" s="3"/>
      <c r="AE1" s="3"/>
      <c r="AH1" s="875" t="s">
        <v>6</v>
      </c>
      <c r="AI1" s="876"/>
      <c r="AJ1" s="877"/>
      <c r="AK1" s="5" t="s">
        <v>7</v>
      </c>
      <c r="AL1" s="3"/>
      <c r="AM1" s="3"/>
      <c r="AN1" s="3"/>
      <c r="AP1" s="875" t="s">
        <v>8</v>
      </c>
      <c r="AQ1" s="876"/>
      <c r="AR1" s="876"/>
      <c r="AS1" s="876"/>
      <c r="AT1" s="876"/>
      <c r="AU1" s="876"/>
      <c r="AV1" s="876"/>
      <c r="AW1" s="876"/>
      <c r="AX1" s="876"/>
      <c r="AY1" s="876"/>
      <c r="AZ1" s="876"/>
      <c r="BA1" s="876"/>
      <c r="BB1" s="876"/>
      <c r="BC1" s="876"/>
      <c r="BD1" s="876"/>
      <c r="BE1" s="876"/>
      <c r="BF1" s="876"/>
      <c r="BG1" s="876"/>
      <c r="BH1" s="876"/>
      <c r="BI1" s="876"/>
      <c r="BJ1" s="876"/>
      <c r="BK1" s="876"/>
      <c r="BL1" s="876"/>
      <c r="BM1" s="876"/>
      <c r="BN1" s="877"/>
      <c r="BP1" s="5" t="s">
        <v>9</v>
      </c>
      <c r="BQ1" s="5" t="s">
        <v>10</v>
      </c>
      <c r="BR1" s="4"/>
      <c r="BT1" s="4"/>
      <c r="BU1" s="4"/>
      <c r="BV1" s="4"/>
      <c r="BW1" s="873" t="s">
        <v>11</v>
      </c>
      <c r="BX1" s="878"/>
      <c r="BY1" s="878"/>
      <c r="BZ1" s="878"/>
      <c r="CA1" s="874"/>
      <c r="CB1" s="879"/>
      <c r="CC1" s="879"/>
      <c r="CD1" s="879"/>
      <c r="CE1" s="873" t="s">
        <v>12</v>
      </c>
      <c r="CF1" s="878"/>
      <c r="CG1" s="878"/>
      <c r="CH1" s="874"/>
      <c r="CI1" s="6"/>
      <c r="CJ1" s="875" t="s">
        <v>13</v>
      </c>
      <c r="CK1" s="876"/>
      <c r="CL1" s="876"/>
      <c r="CM1" s="876"/>
      <c r="CN1" s="876"/>
      <c r="CO1" s="876"/>
      <c r="CP1" s="876"/>
      <c r="CQ1" s="876"/>
      <c r="CR1" s="876"/>
      <c r="CS1" s="876"/>
      <c r="CT1" s="876"/>
      <c r="CU1" s="876"/>
      <c r="CV1" s="876"/>
      <c r="CW1" s="876"/>
      <c r="CX1" s="876"/>
      <c r="CY1" s="876"/>
      <c r="CZ1" s="877"/>
      <c r="DB1" s="7"/>
      <c r="DC1" s="7"/>
      <c r="DD1" s="4"/>
      <c r="DE1" s="7"/>
      <c r="DF1" s="7"/>
      <c r="DG1" s="7"/>
      <c r="DH1" s="4"/>
      <c r="DI1" s="873" t="s">
        <v>14</v>
      </c>
      <c r="DJ1" s="874"/>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c r="DN2" s="17" t="s">
        <v>2236</v>
      </c>
    </row>
    <row r="3" spans="1:156" ht="126.75" customHeight="1">
      <c r="A3" s="48">
        <v>1</v>
      </c>
      <c r="B3" s="49">
        <v>202609</v>
      </c>
      <c r="C3" s="50" t="s">
        <v>898</v>
      </c>
      <c r="D3" s="50"/>
      <c r="E3" s="51">
        <v>5679</v>
      </c>
      <c r="F3" s="52" t="s">
        <v>134</v>
      </c>
      <c r="G3" s="53" t="s">
        <v>899</v>
      </c>
      <c r="H3" s="80" t="s">
        <v>900</v>
      </c>
      <c r="I3" s="85" t="s">
        <v>901</v>
      </c>
      <c r="J3" s="54" t="s">
        <v>902</v>
      </c>
      <c r="K3" s="55" t="s">
        <v>903</v>
      </c>
      <c r="L3" s="55"/>
      <c r="M3" s="56" t="s">
        <v>904</v>
      </c>
      <c r="N3" s="57" t="s">
        <v>905</v>
      </c>
      <c r="O3" s="78" t="s">
        <v>146</v>
      </c>
      <c r="P3" s="59" t="s">
        <v>146</v>
      </c>
      <c r="Q3" s="60" t="s">
        <v>906</v>
      </c>
      <c r="R3" s="77" t="s">
        <v>907</v>
      </c>
      <c r="S3" s="55">
        <v>0</v>
      </c>
      <c r="T3" s="55">
        <v>0</v>
      </c>
      <c r="U3" s="55">
        <v>100</v>
      </c>
      <c r="V3" s="55">
        <v>0</v>
      </c>
      <c r="W3" s="55">
        <v>0</v>
      </c>
      <c r="X3" s="55">
        <v>0</v>
      </c>
      <c r="Y3" s="55">
        <v>0</v>
      </c>
      <c r="Z3" s="55">
        <v>0</v>
      </c>
      <c r="AA3" s="55">
        <v>0</v>
      </c>
      <c r="AB3" s="53">
        <v>100</v>
      </c>
      <c r="AC3" s="52" t="s">
        <v>199</v>
      </c>
      <c r="AD3" s="55" t="s">
        <v>190</v>
      </c>
      <c r="AE3" s="55" t="s">
        <v>146</v>
      </c>
      <c r="AF3" s="55" t="s">
        <v>146</v>
      </c>
      <c r="AG3" s="55" t="s">
        <v>142</v>
      </c>
      <c r="AH3" s="55">
        <v>8</v>
      </c>
      <c r="AI3" s="55">
        <v>16</v>
      </c>
      <c r="AJ3" s="62">
        <v>128</v>
      </c>
      <c r="AK3" s="63">
        <v>46297</v>
      </c>
      <c r="AL3" s="64">
        <f>WEEKDAY(Sheet_1_Table_1_13[[#This Row],[Lesson 1 
Date 
(DD-MMM-YYYY)]])</f>
        <v>6</v>
      </c>
      <c r="AM3" s="65">
        <v>0.45833333333333331</v>
      </c>
      <c r="AN3" s="66">
        <v>0.52083333333333337</v>
      </c>
      <c r="AO3" s="67" t="s">
        <v>908</v>
      </c>
      <c r="AP3" s="68">
        <v>46304</v>
      </c>
      <c r="AQ3" s="64">
        <f>WEEKDAY(Sheet_1_Table_1_13[[#This Row],[Lesson 1 
Date 
(DD-MMM-YYYY)]])</f>
        <v>6</v>
      </c>
      <c r="AR3" s="65">
        <v>0.45833333333333331</v>
      </c>
      <c r="AS3" s="66">
        <v>0.52083333333333337</v>
      </c>
      <c r="AT3" s="67" t="s">
        <v>908</v>
      </c>
      <c r="AU3" s="63">
        <v>46311</v>
      </c>
      <c r="AV3" s="64">
        <f>WEEKDAY(Sheet_1_Table_1_13[[#This Row],[Lesson 1 
Date 
(DD-MMM-YYYY)]])</f>
        <v>6</v>
      </c>
      <c r="AW3" s="65">
        <v>0.45833333333333331</v>
      </c>
      <c r="AX3" s="66">
        <v>0.52083333333333337</v>
      </c>
      <c r="AY3" s="67" t="s">
        <v>908</v>
      </c>
      <c r="AZ3" s="68">
        <v>46318</v>
      </c>
      <c r="BA3" s="64">
        <f>WEEKDAY(Sheet_1_Table_1_13[[#This Row],[Lesson 1 
Date 
(DD-MMM-YYYY)]])</f>
        <v>6</v>
      </c>
      <c r="BB3" s="65">
        <v>0.45833333333333331</v>
      </c>
      <c r="BC3" s="66">
        <v>0.52083333333333337</v>
      </c>
      <c r="BD3" s="67" t="s">
        <v>908</v>
      </c>
      <c r="BE3" s="63">
        <v>46325</v>
      </c>
      <c r="BF3" s="64">
        <f>WEEKDAY(Sheet_1_Table_1_13[[#This Row],[Lesson 1 
Date 
(DD-MMM-YYYY)]])</f>
        <v>6</v>
      </c>
      <c r="BG3" s="65">
        <v>0.45833333333333331</v>
      </c>
      <c r="BH3" s="66">
        <v>0.52083333333333337</v>
      </c>
      <c r="BI3" s="67" t="s">
        <v>908</v>
      </c>
      <c r="BJ3" s="68">
        <v>46339</v>
      </c>
      <c r="BK3" s="64">
        <f>WEEKDAY(Sheet_1_Table_1_13[[#This Row],[Lesson 1 
Date 
(DD-MMM-YYYY)]])</f>
        <v>6</v>
      </c>
      <c r="BL3" s="65">
        <v>0.45833333333333331</v>
      </c>
      <c r="BM3" s="66">
        <v>0.52083333333333337</v>
      </c>
      <c r="BN3" s="67" t="s">
        <v>908</v>
      </c>
      <c r="BO3" s="54" t="s">
        <v>293</v>
      </c>
      <c r="BP3" s="69" t="s">
        <v>909</v>
      </c>
      <c r="BQ3" s="69" t="s">
        <v>692</v>
      </c>
      <c r="BR3" s="57" t="s">
        <v>910</v>
      </c>
      <c r="BS3" s="52"/>
      <c r="BT3" s="56"/>
      <c r="BU3" s="56"/>
      <c r="BV3" s="70"/>
      <c r="BW3" s="60">
        <v>100</v>
      </c>
      <c r="BX3" s="71">
        <v>0</v>
      </c>
      <c r="BY3" s="56" t="s">
        <v>149</v>
      </c>
      <c r="BZ3" s="56"/>
      <c r="CA3" s="56" t="s">
        <v>911</v>
      </c>
      <c r="CB3" s="72"/>
      <c r="CC3" s="72"/>
      <c r="CD3" s="71"/>
      <c r="CE3" s="56" t="s">
        <v>912</v>
      </c>
      <c r="CF3" s="57" t="s">
        <v>913</v>
      </c>
      <c r="CG3" s="60" t="s">
        <v>914</v>
      </c>
      <c r="CH3" s="71" t="s">
        <v>915</v>
      </c>
      <c r="CI3" s="52" t="s">
        <v>146</v>
      </c>
      <c r="CJ3" s="52" t="s">
        <v>142</v>
      </c>
      <c r="CK3" s="52" t="s">
        <v>142</v>
      </c>
      <c r="CL3" s="52" t="s">
        <v>146</v>
      </c>
      <c r="CM3" s="52" t="s">
        <v>142</v>
      </c>
      <c r="CN3" s="52" t="s">
        <v>142</v>
      </c>
      <c r="CO3" s="52" t="s">
        <v>142</v>
      </c>
      <c r="CP3" s="52" t="s">
        <v>142</v>
      </c>
      <c r="CQ3" s="52" t="s">
        <v>142</v>
      </c>
      <c r="CR3" s="52" t="s">
        <v>142</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N3" s="790"/>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94.5" customHeight="1">
      <c r="A4" s="48">
        <v>2</v>
      </c>
      <c r="B4" s="49">
        <v>202609</v>
      </c>
      <c r="C4" s="50" t="s">
        <v>916</v>
      </c>
      <c r="D4" s="50"/>
      <c r="E4" s="51">
        <v>5689</v>
      </c>
      <c r="F4" s="52" t="s">
        <v>134</v>
      </c>
      <c r="G4" s="53" t="s">
        <v>899</v>
      </c>
      <c r="H4" s="80" t="s">
        <v>900</v>
      </c>
      <c r="I4" s="85" t="s">
        <v>901</v>
      </c>
      <c r="J4" s="54" t="s">
        <v>917</v>
      </c>
      <c r="K4" s="55" t="s">
        <v>918</v>
      </c>
      <c r="L4" s="55">
        <v>1</v>
      </c>
      <c r="M4" s="56" t="s">
        <v>919</v>
      </c>
      <c r="N4" s="57" t="s">
        <v>920</v>
      </c>
      <c r="O4" s="78" t="s">
        <v>146</v>
      </c>
      <c r="P4" s="59" t="s">
        <v>146</v>
      </c>
      <c r="Q4" s="60" t="s">
        <v>906</v>
      </c>
      <c r="R4" s="61" t="s">
        <v>907</v>
      </c>
      <c r="S4" s="55">
        <v>0</v>
      </c>
      <c r="T4" s="55">
        <v>0</v>
      </c>
      <c r="U4" s="55">
        <v>100</v>
      </c>
      <c r="V4" s="55">
        <v>0</v>
      </c>
      <c r="W4" s="55">
        <v>0</v>
      </c>
      <c r="X4" s="55">
        <v>0</v>
      </c>
      <c r="Y4" s="55">
        <v>0</v>
      </c>
      <c r="Z4" s="55">
        <v>0</v>
      </c>
      <c r="AA4" s="55">
        <v>0</v>
      </c>
      <c r="AB4" s="53">
        <v>100</v>
      </c>
      <c r="AC4" s="52" t="s">
        <v>199</v>
      </c>
      <c r="AD4" s="55" t="s">
        <v>190</v>
      </c>
      <c r="AE4" s="55" t="s">
        <v>146</v>
      </c>
      <c r="AF4" s="55" t="s">
        <v>146</v>
      </c>
      <c r="AG4" s="55" t="s">
        <v>142</v>
      </c>
      <c r="AH4" s="55">
        <v>8</v>
      </c>
      <c r="AI4" s="55">
        <v>16</v>
      </c>
      <c r="AJ4" s="62">
        <v>128</v>
      </c>
      <c r="AK4" s="63">
        <v>46300</v>
      </c>
      <c r="AL4" s="64">
        <f>WEEKDAY(Sheet_1_Table_1_13[[#This Row],[Lesson 1 
Date 
(DD-MMM-YYYY)]])</f>
        <v>2</v>
      </c>
      <c r="AM4" s="65">
        <v>0.41666666666666669</v>
      </c>
      <c r="AN4" s="66">
        <v>0.47916666666666669</v>
      </c>
      <c r="AO4" s="91" t="s">
        <v>908</v>
      </c>
      <c r="AP4" s="68">
        <v>46307</v>
      </c>
      <c r="AQ4" s="64">
        <f>WEEKDAY(Sheet_1_Table_1_13[[#This Row],[Lesson 1 
Date 
(DD-MMM-YYYY)]])</f>
        <v>2</v>
      </c>
      <c r="AR4" s="65">
        <v>0.41666666666666669</v>
      </c>
      <c r="AS4" s="66">
        <v>0.47916666666666669</v>
      </c>
      <c r="AT4" s="91" t="s">
        <v>908</v>
      </c>
      <c r="AU4" s="63">
        <v>46321</v>
      </c>
      <c r="AV4" s="64">
        <f>WEEKDAY(Sheet_1_Table_1_13[[#This Row],[Lesson 1 
Date 
(DD-MMM-YYYY)]])</f>
        <v>2</v>
      </c>
      <c r="AW4" s="65">
        <v>0.41666666666666669</v>
      </c>
      <c r="AX4" s="66">
        <v>0.47916666666666669</v>
      </c>
      <c r="AY4" s="91" t="s">
        <v>908</v>
      </c>
      <c r="AZ4" s="68">
        <v>46328</v>
      </c>
      <c r="BA4" s="64">
        <f>WEEKDAY(Sheet_1_Table_1_13[[#This Row],[Lesson 1 
Date 
(DD-MMM-YYYY)]])</f>
        <v>2</v>
      </c>
      <c r="BB4" s="65">
        <v>0.41666666666666669</v>
      </c>
      <c r="BC4" s="66">
        <v>0.47916666666666669</v>
      </c>
      <c r="BD4" s="91" t="s">
        <v>908</v>
      </c>
      <c r="BE4" s="63">
        <v>46335</v>
      </c>
      <c r="BF4" s="64">
        <f>WEEKDAY(Sheet_1_Table_1_13[[#This Row],[Lesson 1 
Date 
(DD-MMM-YYYY)]])</f>
        <v>2</v>
      </c>
      <c r="BG4" s="65">
        <v>0.41666666666666669</v>
      </c>
      <c r="BH4" s="66">
        <v>0.47916666666666669</v>
      </c>
      <c r="BI4" s="91" t="s">
        <v>908</v>
      </c>
      <c r="BJ4" s="68">
        <v>46342</v>
      </c>
      <c r="BK4" s="64">
        <f>WEEKDAY(Sheet_1_Table_1_13[[#This Row],[Lesson 1 
Date 
(DD-MMM-YYYY)]])</f>
        <v>2</v>
      </c>
      <c r="BL4" s="65">
        <v>0.41666666666666669</v>
      </c>
      <c r="BM4" s="66">
        <v>0.47916666666666669</v>
      </c>
      <c r="BN4" s="91" t="s">
        <v>908</v>
      </c>
      <c r="BO4" s="54" t="s">
        <v>293</v>
      </c>
      <c r="BP4" s="69" t="s">
        <v>921</v>
      </c>
      <c r="BQ4" s="69" t="s">
        <v>436</v>
      </c>
      <c r="BR4" s="57" t="s">
        <v>922</v>
      </c>
      <c r="BS4" s="52"/>
      <c r="BT4" s="56"/>
      <c r="BU4" s="56"/>
      <c r="BV4" s="70"/>
      <c r="BW4" s="60">
        <v>100</v>
      </c>
      <c r="BX4" s="71">
        <v>0</v>
      </c>
      <c r="BY4" s="56" t="s">
        <v>149</v>
      </c>
      <c r="BZ4" s="56"/>
      <c r="CA4" s="56" t="s">
        <v>911</v>
      </c>
      <c r="CB4" s="72"/>
      <c r="CC4" s="72"/>
      <c r="CD4" s="71"/>
      <c r="CE4" s="56" t="s">
        <v>912</v>
      </c>
      <c r="CF4" s="57" t="s">
        <v>913</v>
      </c>
      <c r="CG4" s="60" t="s">
        <v>914</v>
      </c>
      <c r="CH4" s="71" t="s">
        <v>915</v>
      </c>
      <c r="CI4" s="52" t="s">
        <v>146</v>
      </c>
      <c r="CJ4" s="52" t="s">
        <v>142</v>
      </c>
      <c r="CK4" s="52" t="s">
        <v>142</v>
      </c>
      <c r="CL4" s="52" t="s">
        <v>146</v>
      </c>
      <c r="CM4" s="52" t="s">
        <v>142</v>
      </c>
      <c r="CN4" s="52" t="s">
        <v>142</v>
      </c>
      <c r="CO4" s="52" t="s">
        <v>142</v>
      </c>
      <c r="CP4" s="52" t="s">
        <v>142</v>
      </c>
      <c r="CQ4" s="52" t="s">
        <v>142</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73"/>
      <c r="DH4" s="73"/>
      <c r="DI4" s="74"/>
      <c r="DJ4" s="75"/>
      <c r="DK4" s="76" t="s">
        <v>146</v>
      </c>
      <c r="DL4" s="76" t="s">
        <v>146</v>
      </c>
      <c r="DM4" s="76" t="s">
        <v>146</v>
      </c>
      <c r="DN4" s="790"/>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23" customHeight="1">
      <c r="A5" s="48">
        <v>3</v>
      </c>
      <c r="B5" s="49">
        <v>202609</v>
      </c>
      <c r="C5" s="50" t="s">
        <v>916</v>
      </c>
      <c r="D5" s="50"/>
      <c r="E5" s="51">
        <v>5690</v>
      </c>
      <c r="F5" s="52" t="s">
        <v>134</v>
      </c>
      <c r="G5" s="53" t="s">
        <v>899</v>
      </c>
      <c r="H5" s="80" t="s">
        <v>900</v>
      </c>
      <c r="I5" s="85" t="s">
        <v>901</v>
      </c>
      <c r="J5" s="54" t="s">
        <v>917</v>
      </c>
      <c r="K5" s="55" t="s">
        <v>918</v>
      </c>
      <c r="L5" s="55">
        <v>2</v>
      </c>
      <c r="M5" s="56" t="s">
        <v>919</v>
      </c>
      <c r="N5" s="57" t="s">
        <v>920</v>
      </c>
      <c r="O5" s="78" t="s">
        <v>146</v>
      </c>
      <c r="P5" s="59" t="s">
        <v>146</v>
      </c>
      <c r="Q5" s="60" t="s">
        <v>906</v>
      </c>
      <c r="R5" s="77" t="s">
        <v>907</v>
      </c>
      <c r="S5" s="55">
        <v>0</v>
      </c>
      <c r="T5" s="55">
        <v>0</v>
      </c>
      <c r="U5" s="55">
        <v>100</v>
      </c>
      <c r="V5" s="55">
        <v>0</v>
      </c>
      <c r="W5" s="55">
        <v>0</v>
      </c>
      <c r="X5" s="55">
        <v>0</v>
      </c>
      <c r="Y5" s="55">
        <v>0</v>
      </c>
      <c r="Z5" s="55">
        <v>0</v>
      </c>
      <c r="AA5" s="55">
        <v>0</v>
      </c>
      <c r="AB5" s="53">
        <v>100</v>
      </c>
      <c r="AC5" s="52" t="s">
        <v>199</v>
      </c>
      <c r="AD5" s="55" t="s">
        <v>190</v>
      </c>
      <c r="AE5" s="55" t="s">
        <v>146</v>
      </c>
      <c r="AF5" s="55" t="s">
        <v>146</v>
      </c>
      <c r="AG5" s="55" t="s">
        <v>142</v>
      </c>
      <c r="AH5" s="55">
        <v>8</v>
      </c>
      <c r="AI5" s="55">
        <v>16</v>
      </c>
      <c r="AJ5" s="62">
        <v>128</v>
      </c>
      <c r="AK5" s="63">
        <v>46300</v>
      </c>
      <c r="AL5" s="64">
        <f>WEEKDAY(Sheet_1_Table_1_13[[#This Row],[Lesson 1 
Date 
(DD-MMM-YYYY)]])</f>
        <v>2</v>
      </c>
      <c r="AM5" s="65">
        <v>0.47916666666666669</v>
      </c>
      <c r="AN5" s="66">
        <v>0.54166666666666663</v>
      </c>
      <c r="AO5" s="67" t="s">
        <v>908</v>
      </c>
      <c r="AP5" s="68">
        <v>46307</v>
      </c>
      <c r="AQ5" s="64">
        <f>WEEKDAY(Sheet_1_Table_1_13[[#This Row],[Lesson 1 
Date 
(DD-MMM-YYYY)]])</f>
        <v>2</v>
      </c>
      <c r="AR5" s="65">
        <v>0.47916666666666669</v>
      </c>
      <c r="AS5" s="66">
        <v>0.54166666666666663</v>
      </c>
      <c r="AT5" s="67" t="s">
        <v>908</v>
      </c>
      <c r="AU5" s="63">
        <v>46321</v>
      </c>
      <c r="AV5" s="64">
        <f>WEEKDAY(Sheet_1_Table_1_13[[#This Row],[Lesson 1 
Date 
(DD-MMM-YYYY)]])</f>
        <v>2</v>
      </c>
      <c r="AW5" s="65">
        <v>0.47916666666666669</v>
      </c>
      <c r="AX5" s="66">
        <v>0.54166666666666663</v>
      </c>
      <c r="AY5" s="67" t="s">
        <v>908</v>
      </c>
      <c r="AZ5" s="68">
        <v>46328</v>
      </c>
      <c r="BA5" s="64">
        <f>WEEKDAY(Sheet_1_Table_1_13[[#This Row],[Lesson 1 
Date 
(DD-MMM-YYYY)]])</f>
        <v>2</v>
      </c>
      <c r="BB5" s="65">
        <v>0.47916666666666669</v>
      </c>
      <c r="BC5" s="66">
        <v>0.54166666666666663</v>
      </c>
      <c r="BD5" s="67" t="s">
        <v>908</v>
      </c>
      <c r="BE5" s="63">
        <v>46335</v>
      </c>
      <c r="BF5" s="64">
        <f>WEEKDAY(Sheet_1_Table_1_13[[#This Row],[Lesson 1 
Date 
(DD-MMM-YYYY)]])</f>
        <v>2</v>
      </c>
      <c r="BG5" s="65">
        <v>0.47916666666666669</v>
      </c>
      <c r="BH5" s="66">
        <v>0.54166666666666663</v>
      </c>
      <c r="BI5" s="67" t="s">
        <v>908</v>
      </c>
      <c r="BJ5" s="68">
        <v>46342</v>
      </c>
      <c r="BK5" s="64">
        <f>WEEKDAY(Sheet_1_Table_1_13[[#This Row],[Lesson 1 
Date 
(DD-MMM-YYYY)]])</f>
        <v>2</v>
      </c>
      <c r="BL5" s="65">
        <v>0.47916666666666669</v>
      </c>
      <c r="BM5" s="66">
        <v>0.54166666666666663</v>
      </c>
      <c r="BN5" s="67" t="s">
        <v>908</v>
      </c>
      <c r="BO5" s="54" t="s">
        <v>293</v>
      </c>
      <c r="BP5" s="69" t="s">
        <v>921</v>
      </c>
      <c r="BQ5" s="69" t="s">
        <v>436</v>
      </c>
      <c r="BR5" s="57" t="s">
        <v>922</v>
      </c>
      <c r="BS5" s="52"/>
      <c r="BT5" s="56"/>
      <c r="BU5" s="56"/>
      <c r="BV5" s="70"/>
      <c r="BW5" s="60">
        <v>100</v>
      </c>
      <c r="BX5" s="71">
        <v>0</v>
      </c>
      <c r="BY5" s="56" t="s">
        <v>149</v>
      </c>
      <c r="BZ5" s="56"/>
      <c r="CA5" s="56" t="s">
        <v>911</v>
      </c>
      <c r="CB5" s="72"/>
      <c r="CC5" s="72"/>
      <c r="CD5" s="71"/>
      <c r="CE5" s="56" t="s">
        <v>912</v>
      </c>
      <c r="CF5" s="57" t="s">
        <v>913</v>
      </c>
      <c r="CG5" s="60" t="s">
        <v>914</v>
      </c>
      <c r="CH5" s="71" t="s">
        <v>915</v>
      </c>
      <c r="CI5" s="52" t="s">
        <v>146</v>
      </c>
      <c r="CJ5" s="52" t="s">
        <v>142</v>
      </c>
      <c r="CK5" s="52" t="s">
        <v>142</v>
      </c>
      <c r="CL5" s="52" t="s">
        <v>146</v>
      </c>
      <c r="CM5" s="52" t="s">
        <v>142</v>
      </c>
      <c r="CN5" s="52" t="s">
        <v>142</v>
      </c>
      <c r="CO5" s="52" t="s">
        <v>142</v>
      </c>
      <c r="CP5" s="52" t="s">
        <v>142</v>
      </c>
      <c r="CQ5" s="52" t="s">
        <v>142</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N5" s="790"/>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14.75" customHeight="1">
      <c r="A6" s="48">
        <v>4</v>
      </c>
      <c r="B6" s="49">
        <v>202609</v>
      </c>
      <c r="C6" s="50" t="s">
        <v>923</v>
      </c>
      <c r="D6" s="50"/>
      <c r="E6" s="51">
        <v>5699</v>
      </c>
      <c r="F6" s="52" t="s">
        <v>134</v>
      </c>
      <c r="G6" s="53" t="s">
        <v>899</v>
      </c>
      <c r="H6" s="52" t="s">
        <v>924</v>
      </c>
      <c r="I6" s="59" t="s">
        <v>925</v>
      </c>
      <c r="J6" s="54" t="s">
        <v>926</v>
      </c>
      <c r="K6" s="55" t="s">
        <v>927</v>
      </c>
      <c r="L6" s="55"/>
      <c r="M6" s="56" t="s">
        <v>928</v>
      </c>
      <c r="N6" s="57" t="s">
        <v>929</v>
      </c>
      <c r="O6" s="78" t="s">
        <v>146</v>
      </c>
      <c r="P6" s="59" t="s">
        <v>146</v>
      </c>
      <c r="Q6" s="60" t="s">
        <v>906</v>
      </c>
      <c r="R6" s="61" t="s">
        <v>907</v>
      </c>
      <c r="S6" s="55">
        <v>0</v>
      </c>
      <c r="T6" s="55">
        <v>0</v>
      </c>
      <c r="U6" s="55">
        <v>100</v>
      </c>
      <c r="V6" s="55">
        <v>0</v>
      </c>
      <c r="W6" s="55">
        <v>0</v>
      </c>
      <c r="X6" s="55">
        <v>0</v>
      </c>
      <c r="Y6" s="55">
        <v>0</v>
      </c>
      <c r="Z6" s="55">
        <v>0</v>
      </c>
      <c r="AA6" s="55">
        <v>0</v>
      </c>
      <c r="AB6" s="53">
        <v>100</v>
      </c>
      <c r="AC6" s="52" t="s">
        <v>199</v>
      </c>
      <c r="AD6" s="55" t="s">
        <v>190</v>
      </c>
      <c r="AE6" s="55" t="s">
        <v>146</v>
      </c>
      <c r="AF6" s="55" t="s">
        <v>146</v>
      </c>
      <c r="AG6" s="55" t="s">
        <v>142</v>
      </c>
      <c r="AH6" s="55">
        <v>8</v>
      </c>
      <c r="AI6" s="55">
        <v>16</v>
      </c>
      <c r="AJ6" s="62">
        <v>128</v>
      </c>
      <c r="AK6" s="63">
        <v>46300</v>
      </c>
      <c r="AL6" s="64">
        <f>WEEKDAY(Sheet_1_Table_1_13[[#This Row],[Lesson 1 
Date 
(DD-MMM-YYYY)]])</f>
        <v>2</v>
      </c>
      <c r="AM6" s="65">
        <v>0.64583333333333337</v>
      </c>
      <c r="AN6" s="66">
        <v>0.70833333333333337</v>
      </c>
      <c r="AO6" s="92" t="s">
        <v>930</v>
      </c>
      <c r="AP6" s="68">
        <v>46307</v>
      </c>
      <c r="AQ6" s="64">
        <f>WEEKDAY(Sheet_1_Table_1_13[[#This Row],[Lesson 1 
Date 
(DD-MMM-YYYY)]])</f>
        <v>2</v>
      </c>
      <c r="AR6" s="65">
        <v>0.64583333333333337</v>
      </c>
      <c r="AS6" s="66">
        <v>0.70833333333333337</v>
      </c>
      <c r="AT6" s="92" t="s">
        <v>930</v>
      </c>
      <c r="AU6" s="63">
        <v>46321</v>
      </c>
      <c r="AV6" s="64">
        <f>WEEKDAY(Sheet_1_Table_1_13[[#This Row],[Lesson 1 
Date 
(DD-MMM-YYYY)]])</f>
        <v>2</v>
      </c>
      <c r="AW6" s="65">
        <v>0.64583333333333337</v>
      </c>
      <c r="AX6" s="66">
        <v>0.70833333333333337</v>
      </c>
      <c r="AY6" s="92" t="s">
        <v>930</v>
      </c>
      <c r="AZ6" s="68">
        <v>46328</v>
      </c>
      <c r="BA6" s="64">
        <f>WEEKDAY(Sheet_1_Table_1_13[[#This Row],[Lesson 1 
Date 
(DD-MMM-YYYY)]])</f>
        <v>2</v>
      </c>
      <c r="BB6" s="65">
        <v>0.64583333333333337</v>
      </c>
      <c r="BC6" s="66">
        <v>0.70833333333333337</v>
      </c>
      <c r="BD6" s="92" t="s">
        <v>930</v>
      </c>
      <c r="BE6" s="63">
        <v>46335</v>
      </c>
      <c r="BF6" s="64">
        <f>WEEKDAY(Sheet_1_Table_1_13[[#This Row],[Lesson 1 
Date 
(DD-MMM-YYYY)]])</f>
        <v>2</v>
      </c>
      <c r="BG6" s="65">
        <v>0.64583333333333337</v>
      </c>
      <c r="BH6" s="66">
        <v>0.70833333333333337</v>
      </c>
      <c r="BI6" s="92" t="s">
        <v>930</v>
      </c>
      <c r="BJ6" s="68">
        <v>46342</v>
      </c>
      <c r="BK6" s="64">
        <f>WEEKDAY(Sheet_1_Table_1_13[[#This Row],[Lesson 1 
Date 
(DD-MMM-YYYY)]])</f>
        <v>2</v>
      </c>
      <c r="BL6" s="65">
        <v>0.64583333333333337</v>
      </c>
      <c r="BM6" s="66">
        <v>0.70833333333333337</v>
      </c>
      <c r="BN6" s="92" t="s">
        <v>930</v>
      </c>
      <c r="BO6" s="54" t="s">
        <v>293</v>
      </c>
      <c r="BP6" s="69" t="s">
        <v>931</v>
      </c>
      <c r="BQ6" s="69" t="s">
        <v>422</v>
      </c>
      <c r="BR6" s="57" t="s">
        <v>932</v>
      </c>
      <c r="BS6" s="52"/>
      <c r="BT6" s="56"/>
      <c r="BU6" s="56"/>
      <c r="BV6" s="70"/>
      <c r="BW6" s="60">
        <v>100</v>
      </c>
      <c r="BX6" s="71">
        <v>0</v>
      </c>
      <c r="BY6" s="56" t="s">
        <v>149</v>
      </c>
      <c r="BZ6" s="56"/>
      <c r="CA6" s="56" t="s">
        <v>911</v>
      </c>
      <c r="CB6" s="72"/>
      <c r="CC6" s="72"/>
      <c r="CD6" s="71"/>
      <c r="CE6" s="56" t="s">
        <v>912</v>
      </c>
      <c r="CF6" s="57" t="s">
        <v>913</v>
      </c>
      <c r="CG6" s="60" t="s">
        <v>914</v>
      </c>
      <c r="CH6" s="71" t="s">
        <v>915</v>
      </c>
      <c r="CI6" s="52" t="s">
        <v>146</v>
      </c>
      <c r="CJ6" s="52" t="s">
        <v>142</v>
      </c>
      <c r="CK6" s="52" t="s">
        <v>142</v>
      </c>
      <c r="CL6" s="52" t="s">
        <v>146</v>
      </c>
      <c r="CM6" s="52" t="s">
        <v>142</v>
      </c>
      <c r="CN6" s="52" t="s">
        <v>142</v>
      </c>
      <c r="CO6" s="52" t="s">
        <v>142</v>
      </c>
      <c r="CP6" s="52" t="s">
        <v>142</v>
      </c>
      <c r="CQ6" s="52" t="s">
        <v>142</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N6" s="790"/>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143.25" customHeight="1">
      <c r="A7" s="48">
        <v>5</v>
      </c>
      <c r="B7" s="49">
        <v>202609</v>
      </c>
      <c r="C7" s="50" t="s">
        <v>933</v>
      </c>
      <c r="D7" s="50"/>
      <c r="E7" s="51">
        <v>5700</v>
      </c>
      <c r="F7" s="52" t="s">
        <v>134</v>
      </c>
      <c r="G7" s="53" t="s">
        <v>899</v>
      </c>
      <c r="H7" s="52" t="s">
        <v>924</v>
      </c>
      <c r="I7" s="59" t="s">
        <v>925</v>
      </c>
      <c r="J7" s="54" t="s">
        <v>934</v>
      </c>
      <c r="K7" s="55" t="s">
        <v>935</v>
      </c>
      <c r="L7" s="55"/>
      <c r="M7" s="56" t="s">
        <v>936</v>
      </c>
      <c r="N7" s="57" t="s">
        <v>937</v>
      </c>
      <c r="O7" s="78" t="s">
        <v>146</v>
      </c>
      <c r="P7" s="59" t="s">
        <v>146</v>
      </c>
      <c r="Q7" s="60" t="s">
        <v>906</v>
      </c>
      <c r="R7" s="61" t="s">
        <v>907</v>
      </c>
      <c r="S7" s="55">
        <v>0</v>
      </c>
      <c r="T7" s="55">
        <v>0</v>
      </c>
      <c r="U7" s="55">
        <v>100</v>
      </c>
      <c r="V7" s="55">
        <v>0</v>
      </c>
      <c r="W7" s="55">
        <v>0</v>
      </c>
      <c r="X7" s="55">
        <v>0</v>
      </c>
      <c r="Y7" s="55">
        <v>0</v>
      </c>
      <c r="Z7" s="55">
        <v>0</v>
      </c>
      <c r="AA7" s="55">
        <v>0</v>
      </c>
      <c r="AB7" s="53">
        <v>100</v>
      </c>
      <c r="AC7" s="52" t="s">
        <v>199</v>
      </c>
      <c r="AD7" s="55" t="s">
        <v>190</v>
      </c>
      <c r="AE7" s="55" t="s">
        <v>146</v>
      </c>
      <c r="AF7" s="55" t="s">
        <v>146</v>
      </c>
      <c r="AG7" s="55" t="s">
        <v>142</v>
      </c>
      <c r="AH7" s="55">
        <v>8</v>
      </c>
      <c r="AI7" s="55">
        <v>14</v>
      </c>
      <c r="AJ7" s="62">
        <v>112</v>
      </c>
      <c r="AK7" s="63">
        <v>46300</v>
      </c>
      <c r="AL7" s="64">
        <f>WEEKDAY(Sheet_1_Table_1_13[[#This Row],[Lesson 1 
Date 
(DD-MMM-YYYY)]])</f>
        <v>2</v>
      </c>
      <c r="AM7" s="65">
        <v>0.8125</v>
      </c>
      <c r="AN7" s="66">
        <v>0.89583333333333337</v>
      </c>
      <c r="AO7" s="67" t="s">
        <v>938</v>
      </c>
      <c r="AP7" s="68">
        <v>46307</v>
      </c>
      <c r="AQ7" s="64">
        <f>WEEKDAY(Sheet_1_Table_1_13[[#This Row],[Lesson 1 
Date 
(DD-MMM-YYYY)]])</f>
        <v>2</v>
      </c>
      <c r="AR7" s="65">
        <v>0.8125</v>
      </c>
      <c r="AS7" s="66">
        <v>0.89583333333333337</v>
      </c>
      <c r="AT7" s="67" t="s">
        <v>938</v>
      </c>
      <c r="AU7" s="63">
        <v>46321</v>
      </c>
      <c r="AV7" s="64">
        <f>WEEKDAY(Sheet_1_Table_1_13[[#This Row],[Lesson 1 
Date 
(DD-MMM-YYYY)]])</f>
        <v>2</v>
      </c>
      <c r="AW7" s="65">
        <v>0.8125</v>
      </c>
      <c r="AX7" s="66">
        <v>0.89583333333333337</v>
      </c>
      <c r="AY7" s="67" t="s">
        <v>938</v>
      </c>
      <c r="AZ7" s="68">
        <v>46328</v>
      </c>
      <c r="BA7" s="64">
        <f>WEEKDAY(Sheet_1_Table_1_13[[#This Row],[Lesson 1 
Date 
(DD-MMM-YYYY)]])</f>
        <v>2</v>
      </c>
      <c r="BB7" s="65">
        <v>0.8125</v>
      </c>
      <c r="BC7" s="66">
        <v>0.89583333333333337</v>
      </c>
      <c r="BD7" s="67" t="s">
        <v>938</v>
      </c>
      <c r="BE7" s="63">
        <v>46335</v>
      </c>
      <c r="BF7" s="64">
        <f>WEEKDAY(Sheet_1_Table_1_13[[#This Row],[Lesson 1 
Date 
(DD-MMM-YYYY)]])</f>
        <v>2</v>
      </c>
      <c r="BG7" s="65">
        <v>0.8125</v>
      </c>
      <c r="BH7" s="66">
        <v>0.89583333333333337</v>
      </c>
      <c r="BI7" s="67" t="s">
        <v>938</v>
      </c>
      <c r="BJ7" s="68">
        <v>46342</v>
      </c>
      <c r="BK7" s="64">
        <f>WEEKDAY(Sheet_1_Table_1_13[[#This Row],[Lesson 1 
Date 
(DD-MMM-YYYY)]])</f>
        <v>2</v>
      </c>
      <c r="BL7" s="65">
        <v>0.8125</v>
      </c>
      <c r="BM7" s="66">
        <v>0.89583333333333337</v>
      </c>
      <c r="BN7" s="67" t="s">
        <v>938</v>
      </c>
      <c r="BO7" s="54" t="s">
        <v>293</v>
      </c>
      <c r="BP7" s="69" t="s">
        <v>939</v>
      </c>
      <c r="BQ7" s="69" t="s">
        <v>940</v>
      </c>
      <c r="BR7" s="57" t="s">
        <v>941</v>
      </c>
      <c r="BS7" s="52"/>
      <c r="BT7" s="56"/>
      <c r="BU7" s="56"/>
      <c r="BV7" s="70"/>
      <c r="BW7" s="60">
        <v>100</v>
      </c>
      <c r="BX7" s="71">
        <v>0</v>
      </c>
      <c r="BY7" s="56" t="s">
        <v>149</v>
      </c>
      <c r="BZ7" s="56"/>
      <c r="CA7" s="56" t="s">
        <v>911</v>
      </c>
      <c r="CB7" s="72"/>
      <c r="CC7" s="72"/>
      <c r="CD7" s="71"/>
      <c r="CE7" s="56" t="s">
        <v>912</v>
      </c>
      <c r="CF7" s="57" t="s">
        <v>913</v>
      </c>
      <c r="CG7" s="60" t="s">
        <v>914</v>
      </c>
      <c r="CH7" s="71" t="s">
        <v>915</v>
      </c>
      <c r="CI7" s="52" t="s">
        <v>146</v>
      </c>
      <c r="CJ7" s="52" t="s">
        <v>142</v>
      </c>
      <c r="CK7" s="52" t="s">
        <v>142</v>
      </c>
      <c r="CL7" s="52" t="s">
        <v>146</v>
      </c>
      <c r="CM7" s="52" t="s">
        <v>142</v>
      </c>
      <c r="CN7" s="52" t="s">
        <v>142</v>
      </c>
      <c r="CO7" s="52" t="s">
        <v>142</v>
      </c>
      <c r="CP7" s="52" t="s">
        <v>142</v>
      </c>
      <c r="CQ7" s="52" t="s">
        <v>142</v>
      </c>
      <c r="CR7" s="52" t="s">
        <v>142</v>
      </c>
      <c r="CS7" s="52" t="s">
        <v>142</v>
      </c>
      <c r="CT7" s="52" t="s">
        <v>142</v>
      </c>
      <c r="CU7" s="52" t="s">
        <v>142</v>
      </c>
      <c r="CV7" s="52" t="s">
        <v>142</v>
      </c>
      <c r="CW7" s="52" t="s">
        <v>142</v>
      </c>
      <c r="CX7" s="52" t="s">
        <v>142</v>
      </c>
      <c r="CY7" s="52" t="s">
        <v>142</v>
      </c>
      <c r="CZ7" s="59" t="s">
        <v>142</v>
      </c>
      <c r="DA7" s="54" t="s">
        <v>154</v>
      </c>
      <c r="DB7" s="50" t="s">
        <v>155</v>
      </c>
      <c r="DC7" s="50" t="s">
        <v>156</v>
      </c>
      <c r="DD7" s="50" t="s">
        <v>146</v>
      </c>
      <c r="DE7" s="50" t="s">
        <v>157</v>
      </c>
      <c r="DF7" s="50" t="s">
        <v>146</v>
      </c>
      <c r="DG7" s="73"/>
      <c r="DH7" s="73"/>
      <c r="DI7" s="74"/>
      <c r="DJ7" s="75"/>
      <c r="DK7" s="76" t="s">
        <v>146</v>
      </c>
      <c r="DL7" s="76" t="s">
        <v>146</v>
      </c>
      <c r="DM7" s="76" t="s">
        <v>146</v>
      </c>
      <c r="DN7" s="790"/>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942</v>
      </c>
      <c r="D8" s="50"/>
      <c r="E8" s="51">
        <v>5703</v>
      </c>
      <c r="F8" s="52" t="s">
        <v>134</v>
      </c>
      <c r="G8" s="53" t="s">
        <v>899</v>
      </c>
      <c r="H8" s="52" t="s">
        <v>924</v>
      </c>
      <c r="I8" s="59" t="s">
        <v>925</v>
      </c>
      <c r="J8" s="54" t="s">
        <v>943</v>
      </c>
      <c r="K8" s="55" t="s">
        <v>944</v>
      </c>
      <c r="L8" s="55"/>
      <c r="M8" s="56" t="s">
        <v>945</v>
      </c>
      <c r="N8" s="57" t="s">
        <v>946</v>
      </c>
      <c r="O8" s="78" t="s">
        <v>146</v>
      </c>
      <c r="P8" s="59" t="s">
        <v>146</v>
      </c>
      <c r="Q8" s="60" t="s">
        <v>906</v>
      </c>
      <c r="R8" s="61" t="s">
        <v>907</v>
      </c>
      <c r="S8" s="55">
        <v>0</v>
      </c>
      <c r="T8" s="55">
        <v>0</v>
      </c>
      <c r="U8" s="55">
        <v>100</v>
      </c>
      <c r="V8" s="55">
        <v>0</v>
      </c>
      <c r="W8" s="55">
        <v>0</v>
      </c>
      <c r="X8" s="55">
        <v>0</v>
      </c>
      <c r="Y8" s="55">
        <v>0</v>
      </c>
      <c r="Z8" s="55">
        <v>0</v>
      </c>
      <c r="AA8" s="55">
        <v>0</v>
      </c>
      <c r="AB8" s="53">
        <v>100</v>
      </c>
      <c r="AC8" s="52" t="s">
        <v>199</v>
      </c>
      <c r="AD8" s="55" t="s">
        <v>190</v>
      </c>
      <c r="AE8" s="55" t="s">
        <v>146</v>
      </c>
      <c r="AF8" s="55" t="s">
        <v>146</v>
      </c>
      <c r="AG8" s="55" t="s">
        <v>142</v>
      </c>
      <c r="AH8" s="55">
        <v>8</v>
      </c>
      <c r="AI8" s="55">
        <v>16</v>
      </c>
      <c r="AJ8" s="62">
        <v>128</v>
      </c>
      <c r="AK8" s="63">
        <v>46300</v>
      </c>
      <c r="AL8" s="64">
        <f>WEEKDAY(Sheet_1_Table_1_13[[#This Row],[Lesson 1 
Date 
(DD-MMM-YYYY)]])</f>
        <v>2</v>
      </c>
      <c r="AM8" s="65">
        <v>0.70833333333333337</v>
      </c>
      <c r="AN8" s="66">
        <v>0.77083333333333337</v>
      </c>
      <c r="AO8" s="93" t="s">
        <v>930</v>
      </c>
      <c r="AP8" s="68">
        <v>46307</v>
      </c>
      <c r="AQ8" s="64">
        <f>WEEKDAY(Sheet_1_Table_1_13[[#This Row],[Lesson 1 
Date 
(DD-MMM-YYYY)]])</f>
        <v>2</v>
      </c>
      <c r="AR8" s="65">
        <v>0.70833333333333337</v>
      </c>
      <c r="AS8" s="66">
        <v>0.77083333333333337</v>
      </c>
      <c r="AT8" s="93" t="s">
        <v>930</v>
      </c>
      <c r="AU8" s="63">
        <v>46321</v>
      </c>
      <c r="AV8" s="64">
        <f>WEEKDAY(Sheet_1_Table_1_13[[#This Row],[Lesson 1 
Date 
(DD-MMM-YYYY)]])</f>
        <v>2</v>
      </c>
      <c r="AW8" s="65">
        <v>0.70833333333333337</v>
      </c>
      <c r="AX8" s="66">
        <v>0.77083333333333337</v>
      </c>
      <c r="AY8" s="93" t="s">
        <v>930</v>
      </c>
      <c r="AZ8" s="68">
        <v>46328</v>
      </c>
      <c r="BA8" s="64">
        <f>WEEKDAY(Sheet_1_Table_1_13[[#This Row],[Lesson 1 
Date 
(DD-MMM-YYYY)]])</f>
        <v>2</v>
      </c>
      <c r="BB8" s="65">
        <v>0.70833333333333337</v>
      </c>
      <c r="BC8" s="66">
        <v>0.77083333333333337</v>
      </c>
      <c r="BD8" s="93" t="s">
        <v>930</v>
      </c>
      <c r="BE8" s="63">
        <v>46335</v>
      </c>
      <c r="BF8" s="64">
        <f>WEEKDAY(Sheet_1_Table_1_13[[#This Row],[Lesson 1 
Date 
(DD-MMM-YYYY)]])</f>
        <v>2</v>
      </c>
      <c r="BG8" s="65">
        <v>0.70833333333333337</v>
      </c>
      <c r="BH8" s="66">
        <v>0.77083333333333337</v>
      </c>
      <c r="BI8" s="93" t="s">
        <v>930</v>
      </c>
      <c r="BJ8" s="68">
        <v>46342</v>
      </c>
      <c r="BK8" s="64">
        <f>WEEKDAY(Sheet_1_Table_1_13[[#This Row],[Lesson 1 
Date 
(DD-MMM-YYYY)]])</f>
        <v>2</v>
      </c>
      <c r="BL8" s="65">
        <v>0.70833333333333337</v>
      </c>
      <c r="BM8" s="66">
        <v>0.77083333333333337</v>
      </c>
      <c r="BN8" s="93" t="s">
        <v>930</v>
      </c>
      <c r="BO8" s="54" t="s">
        <v>293</v>
      </c>
      <c r="BP8" s="69" t="s">
        <v>931</v>
      </c>
      <c r="BQ8" s="69" t="s">
        <v>422</v>
      </c>
      <c r="BR8" s="57" t="s">
        <v>932</v>
      </c>
      <c r="BS8" s="52"/>
      <c r="BT8" s="56"/>
      <c r="BU8" s="56"/>
      <c r="BV8" s="70"/>
      <c r="BW8" s="60">
        <v>100</v>
      </c>
      <c r="BX8" s="71">
        <v>0</v>
      </c>
      <c r="BY8" s="56" t="s">
        <v>149</v>
      </c>
      <c r="BZ8" s="56"/>
      <c r="CA8" s="56" t="s">
        <v>911</v>
      </c>
      <c r="CB8" s="72"/>
      <c r="CC8" s="72"/>
      <c r="CD8" s="71"/>
      <c r="CE8" s="56" t="s">
        <v>912</v>
      </c>
      <c r="CF8" s="57" t="s">
        <v>913</v>
      </c>
      <c r="CG8" s="60" t="s">
        <v>914</v>
      </c>
      <c r="CH8" s="71" t="s">
        <v>915</v>
      </c>
      <c r="CI8" s="52" t="s">
        <v>146</v>
      </c>
      <c r="CJ8" s="52" t="s">
        <v>142</v>
      </c>
      <c r="CK8" s="52" t="s">
        <v>142</v>
      </c>
      <c r="CL8" s="52" t="s">
        <v>146</v>
      </c>
      <c r="CM8" s="52" t="s">
        <v>142</v>
      </c>
      <c r="CN8" s="52" t="s">
        <v>142</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N8" s="790"/>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106.5" customHeight="1">
      <c r="A9" s="48">
        <v>7</v>
      </c>
      <c r="B9" s="49">
        <v>202609</v>
      </c>
      <c r="C9" s="50" t="s">
        <v>947</v>
      </c>
      <c r="D9" s="50"/>
      <c r="E9" s="51">
        <v>5705</v>
      </c>
      <c r="F9" s="52" t="s">
        <v>134</v>
      </c>
      <c r="G9" s="53" t="s">
        <v>899</v>
      </c>
      <c r="H9" s="52" t="s">
        <v>924</v>
      </c>
      <c r="I9" s="59" t="s">
        <v>925</v>
      </c>
      <c r="J9" s="54" t="s">
        <v>948</v>
      </c>
      <c r="K9" s="55" t="s">
        <v>949</v>
      </c>
      <c r="L9" s="55">
        <v>1</v>
      </c>
      <c r="M9" s="56" t="s">
        <v>950</v>
      </c>
      <c r="N9" s="57" t="s">
        <v>951</v>
      </c>
      <c r="O9" s="78" t="s">
        <v>146</v>
      </c>
      <c r="P9" s="59" t="s">
        <v>146</v>
      </c>
      <c r="Q9" s="60" t="s">
        <v>906</v>
      </c>
      <c r="R9" s="77" t="s">
        <v>907</v>
      </c>
      <c r="S9" s="55">
        <v>0</v>
      </c>
      <c r="T9" s="55">
        <v>0</v>
      </c>
      <c r="U9" s="55">
        <v>100</v>
      </c>
      <c r="V9" s="55">
        <v>0</v>
      </c>
      <c r="W9" s="55">
        <v>0</v>
      </c>
      <c r="X9" s="55">
        <v>0</v>
      </c>
      <c r="Y9" s="55">
        <v>0</v>
      </c>
      <c r="Z9" s="55">
        <v>0</v>
      </c>
      <c r="AA9" s="55">
        <v>0</v>
      </c>
      <c r="AB9" s="53">
        <v>100</v>
      </c>
      <c r="AC9" s="52" t="s">
        <v>199</v>
      </c>
      <c r="AD9" s="55" t="s">
        <v>190</v>
      </c>
      <c r="AE9" s="55" t="s">
        <v>146</v>
      </c>
      <c r="AF9" s="55" t="s">
        <v>146</v>
      </c>
      <c r="AG9" s="55" t="s">
        <v>142</v>
      </c>
      <c r="AH9" s="55">
        <v>8</v>
      </c>
      <c r="AI9" s="55">
        <v>12</v>
      </c>
      <c r="AJ9" s="62">
        <v>96</v>
      </c>
      <c r="AK9" s="63">
        <v>46300</v>
      </c>
      <c r="AL9" s="64">
        <f>WEEKDAY(Sheet_1_Table_1_13[[#This Row],[Lesson 1 
Date 
(DD-MMM-YYYY)]])</f>
        <v>2</v>
      </c>
      <c r="AM9" s="65">
        <v>0.64583333333333337</v>
      </c>
      <c r="AN9" s="66">
        <v>0.70833333333333337</v>
      </c>
      <c r="AO9" s="94" t="s">
        <v>952</v>
      </c>
      <c r="AP9" s="68">
        <v>46307</v>
      </c>
      <c r="AQ9" s="64">
        <f>WEEKDAY(Sheet_1_Table_1_13[[#This Row],[Lesson 1 
Date 
(DD-MMM-YYYY)]])</f>
        <v>2</v>
      </c>
      <c r="AR9" s="65">
        <v>0.64583333333333337</v>
      </c>
      <c r="AS9" s="66">
        <v>0.70833333333333337</v>
      </c>
      <c r="AT9" s="94" t="s">
        <v>952</v>
      </c>
      <c r="AU9" s="63">
        <v>46321</v>
      </c>
      <c r="AV9" s="64">
        <f>WEEKDAY(Sheet_1_Table_1_13[[#This Row],[Lesson 1 
Date 
(DD-MMM-YYYY)]])</f>
        <v>2</v>
      </c>
      <c r="AW9" s="65">
        <v>0.64583333333333337</v>
      </c>
      <c r="AX9" s="66">
        <v>0.70833333333333337</v>
      </c>
      <c r="AY9" s="94" t="s">
        <v>952</v>
      </c>
      <c r="AZ9" s="68">
        <v>46328</v>
      </c>
      <c r="BA9" s="64">
        <f>WEEKDAY(Sheet_1_Table_1_13[[#This Row],[Lesson 1 
Date 
(DD-MMM-YYYY)]])</f>
        <v>2</v>
      </c>
      <c r="BB9" s="65">
        <v>0.64583333333333337</v>
      </c>
      <c r="BC9" s="66">
        <v>0.70833333333333337</v>
      </c>
      <c r="BD9" s="94" t="s">
        <v>952</v>
      </c>
      <c r="BE9" s="63">
        <v>46335</v>
      </c>
      <c r="BF9" s="64">
        <f>WEEKDAY(Sheet_1_Table_1_13[[#This Row],[Lesson 1 
Date 
(DD-MMM-YYYY)]])</f>
        <v>2</v>
      </c>
      <c r="BG9" s="65">
        <v>0.64583333333333337</v>
      </c>
      <c r="BH9" s="66">
        <v>0.70833333333333337</v>
      </c>
      <c r="BI9" s="94" t="s">
        <v>952</v>
      </c>
      <c r="BJ9" s="68">
        <v>46342</v>
      </c>
      <c r="BK9" s="64">
        <f>WEEKDAY(Sheet_1_Table_1_13[[#This Row],[Lesson 1 
Date 
(DD-MMM-YYYY)]])</f>
        <v>2</v>
      </c>
      <c r="BL9" s="65">
        <v>0.64583333333333337</v>
      </c>
      <c r="BM9" s="66">
        <v>0.70833333333333337</v>
      </c>
      <c r="BN9" s="94" t="s">
        <v>952</v>
      </c>
      <c r="BO9" s="54" t="s">
        <v>293</v>
      </c>
      <c r="BP9" s="69" t="s">
        <v>953</v>
      </c>
      <c r="BQ9" s="69" t="s">
        <v>601</v>
      </c>
      <c r="BR9" s="57" t="s">
        <v>954</v>
      </c>
      <c r="BS9" s="52"/>
      <c r="BT9" s="56"/>
      <c r="BU9" s="56"/>
      <c r="BV9" s="70"/>
      <c r="BW9" s="60">
        <v>100</v>
      </c>
      <c r="BX9" s="71">
        <v>0</v>
      </c>
      <c r="BY9" s="56" t="s">
        <v>149</v>
      </c>
      <c r="BZ9" s="56"/>
      <c r="CA9" s="56" t="s">
        <v>911</v>
      </c>
      <c r="CB9" s="72"/>
      <c r="CC9" s="72"/>
      <c r="CD9" s="71"/>
      <c r="CE9" s="56" t="s">
        <v>912</v>
      </c>
      <c r="CF9" s="57" t="s">
        <v>913</v>
      </c>
      <c r="CG9" s="60" t="s">
        <v>914</v>
      </c>
      <c r="CH9" s="71" t="s">
        <v>915</v>
      </c>
      <c r="CI9" s="52" t="s">
        <v>146</v>
      </c>
      <c r="CJ9" s="52" t="s">
        <v>142</v>
      </c>
      <c r="CK9" s="52" t="s">
        <v>142</v>
      </c>
      <c r="CL9" s="5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N9" s="790"/>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42.5" customHeight="1">
      <c r="A10" s="48">
        <v>8</v>
      </c>
      <c r="B10" s="49">
        <v>202609</v>
      </c>
      <c r="C10" s="50" t="s">
        <v>947</v>
      </c>
      <c r="D10" s="50"/>
      <c r="E10" s="51">
        <v>5706</v>
      </c>
      <c r="F10" s="52" t="s">
        <v>134</v>
      </c>
      <c r="G10" s="53" t="s">
        <v>899</v>
      </c>
      <c r="H10" s="52" t="s">
        <v>924</v>
      </c>
      <c r="I10" s="59" t="s">
        <v>925</v>
      </c>
      <c r="J10" s="54" t="s">
        <v>948</v>
      </c>
      <c r="K10" s="55" t="s">
        <v>949</v>
      </c>
      <c r="L10" s="55">
        <v>2</v>
      </c>
      <c r="M10" s="56" t="s">
        <v>950</v>
      </c>
      <c r="N10" s="57" t="s">
        <v>951</v>
      </c>
      <c r="O10" s="78" t="s">
        <v>146</v>
      </c>
      <c r="P10" s="59" t="s">
        <v>146</v>
      </c>
      <c r="Q10" s="60" t="s">
        <v>906</v>
      </c>
      <c r="R10" s="61" t="s">
        <v>907</v>
      </c>
      <c r="S10" s="55">
        <v>0</v>
      </c>
      <c r="T10" s="55">
        <v>0</v>
      </c>
      <c r="U10" s="55">
        <v>100</v>
      </c>
      <c r="V10" s="55">
        <v>0</v>
      </c>
      <c r="W10" s="55">
        <v>0</v>
      </c>
      <c r="X10" s="55">
        <v>0</v>
      </c>
      <c r="Y10" s="55">
        <v>0</v>
      </c>
      <c r="Z10" s="55">
        <v>0</v>
      </c>
      <c r="AA10" s="55">
        <v>0</v>
      </c>
      <c r="AB10" s="53">
        <v>100</v>
      </c>
      <c r="AC10" s="52" t="s">
        <v>199</v>
      </c>
      <c r="AD10" s="55" t="s">
        <v>190</v>
      </c>
      <c r="AE10" s="55" t="s">
        <v>146</v>
      </c>
      <c r="AF10" s="55" t="s">
        <v>146</v>
      </c>
      <c r="AG10" s="55" t="s">
        <v>142</v>
      </c>
      <c r="AH10" s="55">
        <v>8</v>
      </c>
      <c r="AI10" s="55">
        <v>12</v>
      </c>
      <c r="AJ10" s="62">
        <v>96</v>
      </c>
      <c r="AK10" s="63">
        <v>46300</v>
      </c>
      <c r="AL10" s="64">
        <f>WEEKDAY(Sheet_1_Table_1_13[[#This Row],[Lesson 1 
Date 
(DD-MMM-YYYY)]])</f>
        <v>2</v>
      </c>
      <c r="AM10" s="65">
        <v>0.70833333333333337</v>
      </c>
      <c r="AN10" s="66">
        <v>0.77083333333333337</v>
      </c>
      <c r="AO10" s="94" t="s">
        <v>952</v>
      </c>
      <c r="AP10" s="68">
        <v>46307</v>
      </c>
      <c r="AQ10" s="64">
        <f>WEEKDAY(Sheet_1_Table_1_13[[#This Row],[Lesson 1 
Date 
(DD-MMM-YYYY)]])</f>
        <v>2</v>
      </c>
      <c r="AR10" s="65">
        <v>0.70833333333333337</v>
      </c>
      <c r="AS10" s="66">
        <v>0.77083333333333337</v>
      </c>
      <c r="AT10" s="94" t="s">
        <v>952</v>
      </c>
      <c r="AU10" s="63">
        <v>46321</v>
      </c>
      <c r="AV10" s="64">
        <f>WEEKDAY(Sheet_1_Table_1_13[[#This Row],[Lesson 1 
Date 
(DD-MMM-YYYY)]])</f>
        <v>2</v>
      </c>
      <c r="AW10" s="65">
        <v>0.70833333333333337</v>
      </c>
      <c r="AX10" s="66">
        <v>0.77083333333333337</v>
      </c>
      <c r="AY10" s="94" t="s">
        <v>952</v>
      </c>
      <c r="AZ10" s="68">
        <v>46328</v>
      </c>
      <c r="BA10" s="64">
        <f>WEEKDAY(Sheet_1_Table_1_13[[#This Row],[Lesson 1 
Date 
(DD-MMM-YYYY)]])</f>
        <v>2</v>
      </c>
      <c r="BB10" s="65">
        <v>0.70833333333333337</v>
      </c>
      <c r="BC10" s="66">
        <v>0.77083333333333337</v>
      </c>
      <c r="BD10" s="94" t="s">
        <v>952</v>
      </c>
      <c r="BE10" s="63">
        <v>46335</v>
      </c>
      <c r="BF10" s="64">
        <f>WEEKDAY(Sheet_1_Table_1_13[[#This Row],[Lesson 1 
Date 
(DD-MMM-YYYY)]])</f>
        <v>2</v>
      </c>
      <c r="BG10" s="65">
        <v>0.70833333333333337</v>
      </c>
      <c r="BH10" s="66">
        <v>0.77083333333333337</v>
      </c>
      <c r="BI10" s="94" t="s">
        <v>952</v>
      </c>
      <c r="BJ10" s="68">
        <v>46342</v>
      </c>
      <c r="BK10" s="64">
        <f>WEEKDAY(Sheet_1_Table_1_13[[#This Row],[Lesson 1 
Date 
(DD-MMM-YYYY)]])</f>
        <v>2</v>
      </c>
      <c r="BL10" s="65">
        <v>0.70833333333333337</v>
      </c>
      <c r="BM10" s="66">
        <v>0.77083333333333337</v>
      </c>
      <c r="BN10" s="94" t="s">
        <v>952</v>
      </c>
      <c r="BO10" s="54" t="s">
        <v>293</v>
      </c>
      <c r="BP10" s="69" t="s">
        <v>953</v>
      </c>
      <c r="BQ10" s="69" t="s">
        <v>601</v>
      </c>
      <c r="BR10" s="57" t="s">
        <v>954</v>
      </c>
      <c r="BS10" s="52"/>
      <c r="BT10" s="56"/>
      <c r="BU10" s="56"/>
      <c r="BV10" s="70"/>
      <c r="BW10" s="60">
        <v>100</v>
      </c>
      <c r="BX10" s="71">
        <v>0</v>
      </c>
      <c r="BY10" s="56" t="s">
        <v>149</v>
      </c>
      <c r="BZ10" s="56"/>
      <c r="CA10" s="56" t="s">
        <v>911</v>
      </c>
      <c r="CB10" s="72"/>
      <c r="CC10" s="72"/>
      <c r="CD10" s="71"/>
      <c r="CE10" s="56" t="s">
        <v>912</v>
      </c>
      <c r="CF10" s="57" t="s">
        <v>913</v>
      </c>
      <c r="CG10" s="60" t="s">
        <v>914</v>
      </c>
      <c r="CH10" s="71" t="s">
        <v>915</v>
      </c>
      <c r="CI10" s="52" t="s">
        <v>146</v>
      </c>
      <c r="CJ10" s="52" t="s">
        <v>142</v>
      </c>
      <c r="CK10" s="52" t="s">
        <v>142</v>
      </c>
      <c r="CL10" s="52" t="s">
        <v>146</v>
      </c>
      <c r="CM10" s="52" t="s">
        <v>142</v>
      </c>
      <c r="CN10" s="52" t="s">
        <v>142</v>
      </c>
      <c r="CO10" s="52" t="s">
        <v>142</v>
      </c>
      <c r="CP10" s="52" t="s">
        <v>142</v>
      </c>
      <c r="CQ10" s="52" t="s">
        <v>142</v>
      </c>
      <c r="CR10" s="52" t="s">
        <v>142</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N10" s="790"/>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2.5" customHeight="1">
      <c r="A11" s="48">
        <v>9</v>
      </c>
      <c r="B11" s="49">
        <v>202609</v>
      </c>
      <c r="C11" s="50" t="s">
        <v>955</v>
      </c>
      <c r="D11" s="50"/>
      <c r="E11" s="51">
        <v>5677</v>
      </c>
      <c r="F11" s="52" t="s">
        <v>134</v>
      </c>
      <c r="G11" s="53" t="s">
        <v>899</v>
      </c>
      <c r="H11" s="95" t="s">
        <v>900</v>
      </c>
      <c r="I11" s="81" t="s">
        <v>901</v>
      </c>
      <c r="J11" s="54" t="s">
        <v>956</v>
      </c>
      <c r="K11" s="55" t="s">
        <v>957</v>
      </c>
      <c r="L11" s="55">
        <v>1</v>
      </c>
      <c r="M11" s="56" t="s">
        <v>958</v>
      </c>
      <c r="N11" s="57" t="s">
        <v>959</v>
      </c>
      <c r="O11" s="58" t="s">
        <v>146</v>
      </c>
      <c r="P11" s="96" t="s">
        <v>146</v>
      </c>
      <c r="Q11" s="60" t="s">
        <v>906</v>
      </c>
      <c r="R11" s="77" t="s">
        <v>907</v>
      </c>
      <c r="S11" s="55">
        <v>0</v>
      </c>
      <c r="T11" s="55">
        <v>0</v>
      </c>
      <c r="U11" s="55">
        <v>100</v>
      </c>
      <c r="V11" s="55">
        <v>0</v>
      </c>
      <c r="W11" s="55">
        <v>0</v>
      </c>
      <c r="X11" s="55">
        <v>0</v>
      </c>
      <c r="Y11" s="55">
        <v>0</v>
      </c>
      <c r="Z11" s="55">
        <v>0</v>
      </c>
      <c r="AA11" s="55">
        <v>0</v>
      </c>
      <c r="AB11" s="53">
        <v>100</v>
      </c>
      <c r="AC11" s="52" t="s">
        <v>199</v>
      </c>
      <c r="AD11" s="55" t="s">
        <v>190</v>
      </c>
      <c r="AE11" s="55" t="s">
        <v>146</v>
      </c>
      <c r="AF11" s="55" t="s">
        <v>146</v>
      </c>
      <c r="AG11" s="55" t="s">
        <v>142</v>
      </c>
      <c r="AH11" s="55">
        <v>8</v>
      </c>
      <c r="AI11" s="55">
        <v>20</v>
      </c>
      <c r="AJ11" s="62">
        <v>160</v>
      </c>
      <c r="AK11" s="63">
        <v>46301</v>
      </c>
      <c r="AL11" s="64">
        <f>WEEKDAY(Sheet_1_Table_1_13[[#This Row],[Lesson 1 
Date 
(DD-MMM-YYYY)]])</f>
        <v>3</v>
      </c>
      <c r="AM11" s="65">
        <v>0.4375</v>
      </c>
      <c r="AN11" s="66">
        <v>0.5</v>
      </c>
      <c r="AO11" s="67" t="s">
        <v>908</v>
      </c>
      <c r="AP11" s="68">
        <v>46308</v>
      </c>
      <c r="AQ11" s="64">
        <f>WEEKDAY(Sheet_1_Table_1_13[[#This Row],[Lesson 1 
Date 
(DD-MMM-YYYY)]])</f>
        <v>3</v>
      </c>
      <c r="AR11" s="65">
        <v>0.4375</v>
      </c>
      <c r="AS11" s="66">
        <v>0.5</v>
      </c>
      <c r="AT11" s="67" t="s">
        <v>908</v>
      </c>
      <c r="AU11" s="63">
        <v>46315</v>
      </c>
      <c r="AV11" s="64">
        <f>WEEKDAY(Sheet_1_Table_1_13[[#This Row],[Lesson 1 
Date 
(DD-MMM-YYYY)]])</f>
        <v>3</v>
      </c>
      <c r="AW11" s="65">
        <v>0.4375</v>
      </c>
      <c r="AX11" s="66">
        <v>0.5</v>
      </c>
      <c r="AY11" s="67" t="s">
        <v>908</v>
      </c>
      <c r="AZ11" s="98">
        <v>46322</v>
      </c>
      <c r="BA11" s="64">
        <f>WEEKDAY(Sheet_1_Table_1_13[[#This Row],[Lesson 1 
Date 
(DD-MMM-YYYY)]])</f>
        <v>3</v>
      </c>
      <c r="BB11" s="65">
        <v>0.4375</v>
      </c>
      <c r="BC11" s="66">
        <v>0.5</v>
      </c>
      <c r="BD11" s="67" t="s">
        <v>908</v>
      </c>
      <c r="BE11" s="63">
        <v>46329</v>
      </c>
      <c r="BF11" s="64">
        <f>WEEKDAY(Sheet_1_Table_1_13[[#This Row],[Lesson 1 
Date 
(DD-MMM-YYYY)]])</f>
        <v>3</v>
      </c>
      <c r="BG11" s="65">
        <v>0.4375</v>
      </c>
      <c r="BH11" s="66">
        <v>0.5</v>
      </c>
      <c r="BI11" s="67" t="s">
        <v>908</v>
      </c>
      <c r="BJ11" s="98">
        <v>46336</v>
      </c>
      <c r="BK11" s="64">
        <f>WEEKDAY(Sheet_1_Table_1_13[[#This Row],[Lesson 1 
Date 
(DD-MMM-YYYY)]])</f>
        <v>3</v>
      </c>
      <c r="BL11" s="65">
        <v>0.4375</v>
      </c>
      <c r="BM11" s="66">
        <v>0.5</v>
      </c>
      <c r="BN11" s="67" t="s">
        <v>908</v>
      </c>
      <c r="BO11" s="54" t="s">
        <v>293</v>
      </c>
      <c r="BP11" s="69" t="s">
        <v>960</v>
      </c>
      <c r="BQ11" s="69" t="s">
        <v>601</v>
      </c>
      <c r="BR11" s="57" t="s">
        <v>961</v>
      </c>
      <c r="BS11" s="54"/>
      <c r="BT11" s="56"/>
      <c r="BU11" s="56"/>
      <c r="BV11" s="57"/>
      <c r="BW11" s="60">
        <v>100</v>
      </c>
      <c r="BX11" s="71">
        <v>0</v>
      </c>
      <c r="BY11" s="56" t="s">
        <v>149</v>
      </c>
      <c r="BZ11" s="56"/>
      <c r="CA11" s="56" t="s">
        <v>911</v>
      </c>
      <c r="CB11" s="72"/>
      <c r="CC11" s="72"/>
      <c r="CD11" s="72"/>
      <c r="CE11" s="56" t="s">
        <v>912</v>
      </c>
      <c r="CF11" s="57" t="s">
        <v>913</v>
      </c>
      <c r="CG11" s="60" t="s">
        <v>914</v>
      </c>
      <c r="CH11" s="71" t="s">
        <v>915</v>
      </c>
      <c r="CI11" s="52" t="s">
        <v>146</v>
      </c>
      <c r="CJ11" s="52" t="s">
        <v>142</v>
      </c>
      <c r="CK11" s="52" t="s">
        <v>142</v>
      </c>
      <c r="CL11" s="52" t="s">
        <v>146</v>
      </c>
      <c r="CM11" s="52" t="s">
        <v>142</v>
      </c>
      <c r="CN11" s="52" t="s">
        <v>142</v>
      </c>
      <c r="CO11" s="52" t="s">
        <v>142</v>
      </c>
      <c r="CP11" s="52" t="s">
        <v>142</v>
      </c>
      <c r="CQ11" s="52" t="s">
        <v>142</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N11" s="790"/>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955</v>
      </c>
      <c r="D12" s="50"/>
      <c r="E12" s="51">
        <v>5678</v>
      </c>
      <c r="F12" s="52" t="s">
        <v>134</v>
      </c>
      <c r="G12" s="53" t="s">
        <v>899</v>
      </c>
      <c r="H12" s="95" t="s">
        <v>900</v>
      </c>
      <c r="I12" s="81" t="s">
        <v>901</v>
      </c>
      <c r="J12" s="54" t="s">
        <v>956</v>
      </c>
      <c r="K12" s="55" t="s">
        <v>957</v>
      </c>
      <c r="L12" s="55">
        <v>2</v>
      </c>
      <c r="M12" s="56" t="s">
        <v>958</v>
      </c>
      <c r="N12" s="57" t="s">
        <v>959</v>
      </c>
      <c r="O12" s="58" t="s">
        <v>146</v>
      </c>
      <c r="P12" s="96" t="s">
        <v>146</v>
      </c>
      <c r="Q12" s="60" t="s">
        <v>906</v>
      </c>
      <c r="R12" s="61" t="s">
        <v>907</v>
      </c>
      <c r="S12" s="55">
        <v>0</v>
      </c>
      <c r="T12" s="55">
        <v>0</v>
      </c>
      <c r="U12" s="55">
        <v>100</v>
      </c>
      <c r="V12" s="55">
        <v>0</v>
      </c>
      <c r="W12" s="55">
        <v>0</v>
      </c>
      <c r="X12" s="55">
        <v>0</v>
      </c>
      <c r="Y12" s="55">
        <v>0</v>
      </c>
      <c r="Z12" s="55">
        <v>0</v>
      </c>
      <c r="AA12" s="55">
        <v>0</v>
      </c>
      <c r="AB12" s="53">
        <v>100</v>
      </c>
      <c r="AC12" s="52" t="s">
        <v>199</v>
      </c>
      <c r="AD12" s="55" t="s">
        <v>190</v>
      </c>
      <c r="AE12" s="55" t="s">
        <v>146</v>
      </c>
      <c r="AF12" s="55" t="s">
        <v>146</v>
      </c>
      <c r="AG12" s="55" t="s">
        <v>142</v>
      </c>
      <c r="AH12" s="55">
        <v>8</v>
      </c>
      <c r="AI12" s="55">
        <v>20</v>
      </c>
      <c r="AJ12" s="62">
        <v>160</v>
      </c>
      <c r="AK12" s="63">
        <v>46301</v>
      </c>
      <c r="AL12" s="64">
        <f>WEEKDAY(Sheet_1_Table_1_13[[#This Row],[Lesson 1 
Date 
(DD-MMM-YYYY)]])</f>
        <v>3</v>
      </c>
      <c r="AM12" s="65">
        <v>0.5</v>
      </c>
      <c r="AN12" s="66">
        <v>0.5625</v>
      </c>
      <c r="AO12" s="67" t="s">
        <v>908</v>
      </c>
      <c r="AP12" s="68">
        <v>46308</v>
      </c>
      <c r="AQ12" s="64">
        <f>WEEKDAY(Sheet_1_Table_1_13[[#This Row],[Lesson 1 
Date 
(DD-MMM-YYYY)]])</f>
        <v>3</v>
      </c>
      <c r="AR12" s="65">
        <v>0.5</v>
      </c>
      <c r="AS12" s="66">
        <v>0.5625</v>
      </c>
      <c r="AT12" s="67" t="s">
        <v>908</v>
      </c>
      <c r="AU12" s="63">
        <v>46315</v>
      </c>
      <c r="AV12" s="64">
        <f>WEEKDAY(Sheet_1_Table_1_13[[#This Row],[Lesson 1 
Date 
(DD-MMM-YYYY)]])</f>
        <v>3</v>
      </c>
      <c r="AW12" s="65">
        <v>0.5</v>
      </c>
      <c r="AX12" s="66">
        <v>0.5625</v>
      </c>
      <c r="AY12" s="67" t="s">
        <v>908</v>
      </c>
      <c r="AZ12" s="98">
        <v>46322</v>
      </c>
      <c r="BA12" s="64">
        <f>WEEKDAY(Sheet_1_Table_1_13[[#This Row],[Lesson 1 
Date 
(DD-MMM-YYYY)]])</f>
        <v>3</v>
      </c>
      <c r="BB12" s="65">
        <v>0.5</v>
      </c>
      <c r="BC12" s="66">
        <v>0.5625</v>
      </c>
      <c r="BD12" s="67" t="s">
        <v>908</v>
      </c>
      <c r="BE12" s="63">
        <v>46329</v>
      </c>
      <c r="BF12" s="64">
        <f>WEEKDAY(Sheet_1_Table_1_13[[#This Row],[Lesson 1 
Date 
(DD-MMM-YYYY)]])</f>
        <v>3</v>
      </c>
      <c r="BG12" s="65">
        <v>0.5</v>
      </c>
      <c r="BH12" s="66">
        <v>0.5625</v>
      </c>
      <c r="BI12" s="67" t="s">
        <v>908</v>
      </c>
      <c r="BJ12" s="98">
        <v>46336</v>
      </c>
      <c r="BK12" s="64">
        <f>WEEKDAY(Sheet_1_Table_1_13[[#This Row],[Lesson 1 
Date 
(DD-MMM-YYYY)]])</f>
        <v>3</v>
      </c>
      <c r="BL12" s="65">
        <v>0.5</v>
      </c>
      <c r="BM12" s="66">
        <v>0.5625</v>
      </c>
      <c r="BN12" s="99" t="s">
        <v>908</v>
      </c>
      <c r="BO12" s="54" t="s">
        <v>293</v>
      </c>
      <c r="BP12" s="69" t="s">
        <v>960</v>
      </c>
      <c r="BQ12" s="69" t="s">
        <v>601</v>
      </c>
      <c r="BR12" s="57" t="s">
        <v>961</v>
      </c>
      <c r="BS12" s="54"/>
      <c r="BT12" s="69"/>
      <c r="BU12" s="55"/>
      <c r="BV12" s="57"/>
      <c r="BW12" s="60">
        <v>100</v>
      </c>
      <c r="BX12" s="71">
        <v>0</v>
      </c>
      <c r="BY12" s="56" t="s">
        <v>149</v>
      </c>
      <c r="BZ12" s="56"/>
      <c r="CA12" s="56" t="s">
        <v>911</v>
      </c>
      <c r="CB12" s="72"/>
      <c r="CC12" s="72"/>
      <c r="CD12" s="72"/>
      <c r="CE12" s="56" t="s">
        <v>912</v>
      </c>
      <c r="CF12" s="57" t="s">
        <v>913</v>
      </c>
      <c r="CG12" s="60" t="s">
        <v>914</v>
      </c>
      <c r="CH12" s="71" t="s">
        <v>915</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N12" s="790"/>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962</v>
      </c>
      <c r="D13" s="50"/>
      <c r="E13" s="51">
        <v>5685</v>
      </c>
      <c r="F13" s="52" t="s">
        <v>134</v>
      </c>
      <c r="G13" s="53" t="s">
        <v>899</v>
      </c>
      <c r="H13" s="97" t="s">
        <v>900</v>
      </c>
      <c r="I13" s="53" t="s">
        <v>901</v>
      </c>
      <c r="J13" s="54" t="s">
        <v>963</v>
      </c>
      <c r="K13" s="55" t="s">
        <v>964</v>
      </c>
      <c r="L13" s="55"/>
      <c r="M13" s="56" t="s">
        <v>965</v>
      </c>
      <c r="N13" s="57" t="s">
        <v>966</v>
      </c>
      <c r="O13" s="78" t="s">
        <v>146</v>
      </c>
      <c r="P13" s="96" t="s">
        <v>146</v>
      </c>
      <c r="Q13" s="60" t="s">
        <v>906</v>
      </c>
      <c r="R13" s="77" t="s">
        <v>907</v>
      </c>
      <c r="S13" s="55">
        <v>0</v>
      </c>
      <c r="T13" s="55">
        <v>0</v>
      </c>
      <c r="U13" s="55">
        <v>100</v>
      </c>
      <c r="V13" s="55">
        <v>0</v>
      </c>
      <c r="W13" s="55">
        <v>0</v>
      </c>
      <c r="X13" s="55">
        <v>0</v>
      </c>
      <c r="Y13" s="55">
        <v>0</v>
      </c>
      <c r="Z13" s="55">
        <v>0</v>
      </c>
      <c r="AA13" s="55">
        <v>0</v>
      </c>
      <c r="AB13" s="53">
        <v>100</v>
      </c>
      <c r="AC13" s="52" t="s">
        <v>199</v>
      </c>
      <c r="AD13" s="55" t="s">
        <v>190</v>
      </c>
      <c r="AE13" s="55" t="s">
        <v>146</v>
      </c>
      <c r="AF13" s="55" t="s">
        <v>146</v>
      </c>
      <c r="AG13" s="55" t="s">
        <v>142</v>
      </c>
      <c r="AH13" s="55">
        <v>8</v>
      </c>
      <c r="AI13" s="55">
        <v>16</v>
      </c>
      <c r="AJ13" s="62">
        <v>128</v>
      </c>
      <c r="AK13" s="63">
        <v>46301</v>
      </c>
      <c r="AL13" s="64">
        <f>WEEKDAY(Sheet_1_Table_1_13[[#This Row],[Lesson 1 
Date 
(DD-MMM-YYYY)]])</f>
        <v>3</v>
      </c>
      <c r="AM13" s="65">
        <v>0.47916666666666669</v>
      </c>
      <c r="AN13" s="66">
        <v>0.54166666666666663</v>
      </c>
      <c r="AO13" s="94" t="s">
        <v>930</v>
      </c>
      <c r="AP13" s="68">
        <v>46308</v>
      </c>
      <c r="AQ13" s="64">
        <f>WEEKDAY(Sheet_1_Table_1_13[[#This Row],[Lesson 1 
Date 
(DD-MMM-YYYY)]])</f>
        <v>3</v>
      </c>
      <c r="AR13" s="65">
        <v>0.47916666666666669</v>
      </c>
      <c r="AS13" s="66">
        <v>0.54166666666666663</v>
      </c>
      <c r="AT13" s="100" t="s">
        <v>930</v>
      </c>
      <c r="AU13" s="63">
        <v>46315</v>
      </c>
      <c r="AV13" s="64">
        <f>WEEKDAY(Sheet_1_Table_1_13[[#This Row],[Lesson 1 
Date 
(DD-MMM-YYYY)]])</f>
        <v>3</v>
      </c>
      <c r="AW13" s="65">
        <v>0.47916666666666669</v>
      </c>
      <c r="AX13" s="66">
        <v>0.54166666666666663</v>
      </c>
      <c r="AY13" s="100" t="s">
        <v>930</v>
      </c>
      <c r="AZ13" s="98">
        <v>46322</v>
      </c>
      <c r="BA13" s="64">
        <f>WEEKDAY(Sheet_1_Table_1_13[[#This Row],[Lesson 1 
Date 
(DD-MMM-YYYY)]])</f>
        <v>3</v>
      </c>
      <c r="BB13" s="65">
        <v>0.47916666666666669</v>
      </c>
      <c r="BC13" s="66">
        <v>0.54166666666666663</v>
      </c>
      <c r="BD13" s="100" t="s">
        <v>930</v>
      </c>
      <c r="BE13" s="63">
        <v>46329</v>
      </c>
      <c r="BF13" s="64">
        <f>WEEKDAY(Sheet_1_Table_1_13[[#This Row],[Lesson 1 
Date 
(DD-MMM-YYYY)]])</f>
        <v>3</v>
      </c>
      <c r="BG13" s="65">
        <v>0.47916666666666669</v>
      </c>
      <c r="BH13" s="66">
        <v>0.54166666666666663</v>
      </c>
      <c r="BI13" s="100" t="s">
        <v>930</v>
      </c>
      <c r="BJ13" s="98">
        <v>46336</v>
      </c>
      <c r="BK13" s="64">
        <f>WEEKDAY(Sheet_1_Table_1_13[[#This Row],[Lesson 1 
Date 
(DD-MMM-YYYY)]])</f>
        <v>3</v>
      </c>
      <c r="BL13" s="65">
        <v>0.47916666666666669</v>
      </c>
      <c r="BM13" s="66">
        <v>0.54166666666666663</v>
      </c>
      <c r="BN13" s="100" t="s">
        <v>930</v>
      </c>
      <c r="BO13" s="54" t="s">
        <v>293</v>
      </c>
      <c r="BP13" s="69" t="s">
        <v>967</v>
      </c>
      <c r="BQ13" s="69" t="s">
        <v>968</v>
      </c>
      <c r="BR13" s="57" t="s">
        <v>969</v>
      </c>
      <c r="BS13" s="52"/>
      <c r="BT13" s="56"/>
      <c r="BU13" s="56"/>
      <c r="BV13" s="70"/>
      <c r="BW13" s="60">
        <v>100</v>
      </c>
      <c r="BX13" s="71">
        <v>0</v>
      </c>
      <c r="BY13" s="56" t="s">
        <v>149</v>
      </c>
      <c r="BZ13" s="56"/>
      <c r="CA13" s="56" t="s">
        <v>911</v>
      </c>
      <c r="CB13" s="72"/>
      <c r="CC13" s="72"/>
      <c r="CD13" s="71"/>
      <c r="CE13" s="56" t="s">
        <v>912</v>
      </c>
      <c r="CF13" s="57" t="s">
        <v>913</v>
      </c>
      <c r="CG13" s="60" t="s">
        <v>914</v>
      </c>
      <c r="CH13" s="71" t="s">
        <v>915</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N13" s="790"/>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970</v>
      </c>
      <c r="D14" s="50"/>
      <c r="E14" s="51">
        <v>5681</v>
      </c>
      <c r="F14" s="52" t="s">
        <v>134</v>
      </c>
      <c r="G14" s="53" t="s">
        <v>899</v>
      </c>
      <c r="H14" s="97" t="s">
        <v>900</v>
      </c>
      <c r="I14" s="53" t="s">
        <v>901</v>
      </c>
      <c r="J14" s="54" t="s">
        <v>971</v>
      </c>
      <c r="K14" s="55" t="s">
        <v>972</v>
      </c>
      <c r="L14" s="55"/>
      <c r="M14" s="56" t="s">
        <v>973</v>
      </c>
      <c r="N14" s="57" t="s">
        <v>974</v>
      </c>
      <c r="O14" s="78" t="s">
        <v>146</v>
      </c>
      <c r="P14" s="96" t="s">
        <v>146</v>
      </c>
      <c r="Q14" s="60" t="s">
        <v>906</v>
      </c>
      <c r="R14" s="61" t="s">
        <v>907</v>
      </c>
      <c r="S14" s="55">
        <v>0</v>
      </c>
      <c r="T14" s="55">
        <v>0</v>
      </c>
      <c r="U14" s="55">
        <v>100</v>
      </c>
      <c r="V14" s="55">
        <v>0</v>
      </c>
      <c r="W14" s="55">
        <v>0</v>
      </c>
      <c r="X14" s="55">
        <v>0</v>
      </c>
      <c r="Y14" s="55">
        <v>0</v>
      </c>
      <c r="Z14" s="55">
        <v>0</v>
      </c>
      <c r="AA14" s="55">
        <v>0</v>
      </c>
      <c r="AB14" s="53">
        <v>100</v>
      </c>
      <c r="AC14" s="52" t="s">
        <v>199</v>
      </c>
      <c r="AD14" s="55" t="s">
        <v>190</v>
      </c>
      <c r="AE14" s="55" t="s">
        <v>146</v>
      </c>
      <c r="AF14" s="55" t="s">
        <v>146</v>
      </c>
      <c r="AG14" s="55" t="s">
        <v>142</v>
      </c>
      <c r="AH14" s="55">
        <v>8</v>
      </c>
      <c r="AI14" s="55">
        <v>16</v>
      </c>
      <c r="AJ14" s="62">
        <v>128</v>
      </c>
      <c r="AK14" s="63">
        <v>46301</v>
      </c>
      <c r="AL14" s="64">
        <f>WEEKDAY(Sheet_1_Table_1_13[[#This Row],[Lesson 1 
Date 
(DD-MMM-YYYY)]])</f>
        <v>3</v>
      </c>
      <c r="AM14" s="65">
        <v>0.6875</v>
      </c>
      <c r="AN14" s="66">
        <v>0.75</v>
      </c>
      <c r="AO14" s="101" t="s">
        <v>975</v>
      </c>
      <c r="AP14" s="68">
        <v>46308</v>
      </c>
      <c r="AQ14" s="64">
        <f>WEEKDAY(Sheet_1_Table_1_13[[#This Row],[Lesson 1 
Date 
(DD-MMM-YYYY)]])</f>
        <v>3</v>
      </c>
      <c r="AR14" s="65">
        <v>0.6875</v>
      </c>
      <c r="AS14" s="66">
        <v>0.75</v>
      </c>
      <c r="AT14" s="102" t="s">
        <v>975</v>
      </c>
      <c r="AU14" s="63">
        <v>46315</v>
      </c>
      <c r="AV14" s="64">
        <f>WEEKDAY(Sheet_1_Table_1_13[[#This Row],[Lesson 1 
Date 
(DD-MMM-YYYY)]])</f>
        <v>3</v>
      </c>
      <c r="AW14" s="65">
        <v>0.6875</v>
      </c>
      <c r="AX14" s="66">
        <v>0.75</v>
      </c>
      <c r="AY14" s="102" t="s">
        <v>975</v>
      </c>
      <c r="AZ14" s="98">
        <v>46322</v>
      </c>
      <c r="BA14" s="64">
        <f>WEEKDAY(Sheet_1_Table_1_13[[#This Row],[Lesson 1 
Date 
(DD-MMM-YYYY)]])</f>
        <v>3</v>
      </c>
      <c r="BB14" s="65">
        <v>0.6875</v>
      </c>
      <c r="BC14" s="66">
        <v>0.75</v>
      </c>
      <c r="BD14" s="102" t="s">
        <v>975</v>
      </c>
      <c r="BE14" s="63">
        <v>46329</v>
      </c>
      <c r="BF14" s="64">
        <f>WEEKDAY(Sheet_1_Table_1_13[[#This Row],[Lesson 1 
Date 
(DD-MMM-YYYY)]])</f>
        <v>3</v>
      </c>
      <c r="BG14" s="65">
        <v>0.6875</v>
      </c>
      <c r="BH14" s="66">
        <v>0.75</v>
      </c>
      <c r="BI14" s="102" t="s">
        <v>975</v>
      </c>
      <c r="BJ14" s="98">
        <v>46336</v>
      </c>
      <c r="BK14" s="64">
        <f>WEEKDAY(Sheet_1_Table_1_13[[#This Row],[Lesson 1 
Date 
(DD-MMM-YYYY)]])</f>
        <v>3</v>
      </c>
      <c r="BL14" s="65">
        <v>0.6875</v>
      </c>
      <c r="BM14" s="66">
        <v>0.75</v>
      </c>
      <c r="BN14" s="102" t="s">
        <v>975</v>
      </c>
      <c r="BO14" s="54" t="s">
        <v>293</v>
      </c>
      <c r="BP14" s="69" t="s">
        <v>976</v>
      </c>
      <c r="BQ14" s="69" t="s">
        <v>977</v>
      </c>
      <c r="BR14" s="57" t="s">
        <v>978</v>
      </c>
      <c r="BS14" s="52"/>
      <c r="BT14" s="56"/>
      <c r="BU14" s="56"/>
      <c r="BV14" s="70"/>
      <c r="BW14" s="60">
        <v>100</v>
      </c>
      <c r="BX14" s="71">
        <v>0</v>
      </c>
      <c r="BY14" s="56" t="s">
        <v>149</v>
      </c>
      <c r="BZ14" s="56"/>
      <c r="CA14" s="56" t="s">
        <v>911</v>
      </c>
      <c r="CB14" s="72"/>
      <c r="CC14" s="72"/>
      <c r="CD14" s="71"/>
      <c r="CE14" s="56" t="s">
        <v>912</v>
      </c>
      <c r="CF14" s="57" t="s">
        <v>913</v>
      </c>
      <c r="CG14" s="60" t="s">
        <v>914</v>
      </c>
      <c r="CH14" s="71" t="s">
        <v>915</v>
      </c>
      <c r="CI14" s="52" t="s">
        <v>146</v>
      </c>
      <c r="CJ14" s="52" t="s">
        <v>142</v>
      </c>
      <c r="CK14" s="52" t="s">
        <v>142</v>
      </c>
      <c r="CL14" s="52" t="s">
        <v>146</v>
      </c>
      <c r="CM14" s="52" t="s">
        <v>142</v>
      </c>
      <c r="CN14" s="52" t="s">
        <v>142</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N14" s="790"/>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105.75" customHeight="1">
      <c r="A15" s="48">
        <v>13</v>
      </c>
      <c r="B15" s="49">
        <v>202609</v>
      </c>
      <c r="C15" s="50" t="s">
        <v>979</v>
      </c>
      <c r="D15" s="50"/>
      <c r="E15" s="51">
        <v>5704</v>
      </c>
      <c r="F15" s="52" t="s">
        <v>134</v>
      </c>
      <c r="G15" s="53" t="s">
        <v>899</v>
      </c>
      <c r="H15" s="97" t="s">
        <v>924</v>
      </c>
      <c r="I15" s="53" t="s">
        <v>925</v>
      </c>
      <c r="J15" s="54" t="s">
        <v>980</v>
      </c>
      <c r="K15" s="55" t="s">
        <v>981</v>
      </c>
      <c r="L15" s="55"/>
      <c r="M15" s="56" t="s">
        <v>982</v>
      </c>
      <c r="N15" s="57" t="s">
        <v>983</v>
      </c>
      <c r="O15" s="78" t="s">
        <v>146</v>
      </c>
      <c r="P15" s="96" t="s">
        <v>146</v>
      </c>
      <c r="Q15" s="60" t="s">
        <v>906</v>
      </c>
      <c r="R15" s="77" t="s">
        <v>907</v>
      </c>
      <c r="S15" s="55">
        <v>0</v>
      </c>
      <c r="T15" s="55">
        <v>0</v>
      </c>
      <c r="U15" s="55">
        <v>100</v>
      </c>
      <c r="V15" s="55">
        <v>0</v>
      </c>
      <c r="W15" s="55">
        <v>0</v>
      </c>
      <c r="X15" s="55">
        <v>0</v>
      </c>
      <c r="Y15" s="55">
        <v>0</v>
      </c>
      <c r="Z15" s="55">
        <v>0</v>
      </c>
      <c r="AA15" s="55">
        <v>0</v>
      </c>
      <c r="AB15" s="53">
        <v>100</v>
      </c>
      <c r="AC15" s="52" t="s">
        <v>199</v>
      </c>
      <c r="AD15" s="55" t="s">
        <v>190</v>
      </c>
      <c r="AE15" s="55" t="s">
        <v>146</v>
      </c>
      <c r="AF15" s="55" t="s">
        <v>146</v>
      </c>
      <c r="AG15" s="55" t="s">
        <v>142</v>
      </c>
      <c r="AH15" s="55">
        <v>8</v>
      </c>
      <c r="AI15" s="55">
        <v>16</v>
      </c>
      <c r="AJ15" s="62">
        <v>128</v>
      </c>
      <c r="AK15" s="63">
        <v>46301</v>
      </c>
      <c r="AL15" s="64">
        <f>WEEKDAY(Sheet_1_Table_1_13[[#This Row],[Lesson 1 
Date 
(DD-MMM-YYYY)]])</f>
        <v>3</v>
      </c>
      <c r="AM15" s="65">
        <v>0.72916666666666663</v>
      </c>
      <c r="AN15" s="66">
        <v>0.8125</v>
      </c>
      <c r="AO15" s="92" t="s">
        <v>930</v>
      </c>
      <c r="AP15" s="68">
        <v>46308</v>
      </c>
      <c r="AQ15" s="64">
        <f>WEEKDAY(Sheet_1_Table_1_13[[#This Row],[Lesson 1 
Date 
(DD-MMM-YYYY)]])</f>
        <v>3</v>
      </c>
      <c r="AR15" s="65">
        <v>0.72916666666666663</v>
      </c>
      <c r="AS15" s="66">
        <v>0.8125</v>
      </c>
      <c r="AT15" s="92" t="s">
        <v>930</v>
      </c>
      <c r="AU15" s="63">
        <v>46315</v>
      </c>
      <c r="AV15" s="64">
        <f>WEEKDAY(Sheet_1_Table_1_13[[#This Row],[Lesson 1 
Date 
(DD-MMM-YYYY)]])</f>
        <v>3</v>
      </c>
      <c r="AW15" s="65">
        <v>0.72916666666666663</v>
      </c>
      <c r="AX15" s="66">
        <v>0.8125</v>
      </c>
      <c r="AY15" s="92" t="s">
        <v>930</v>
      </c>
      <c r="AZ15" s="98">
        <v>46322</v>
      </c>
      <c r="BA15" s="64">
        <f>WEEKDAY(Sheet_1_Table_1_13[[#This Row],[Lesson 1 
Date 
(DD-MMM-YYYY)]])</f>
        <v>3</v>
      </c>
      <c r="BB15" s="65">
        <v>0.72916666666666663</v>
      </c>
      <c r="BC15" s="66">
        <v>0.8125</v>
      </c>
      <c r="BD15" s="92" t="s">
        <v>930</v>
      </c>
      <c r="BE15" s="63">
        <v>46329</v>
      </c>
      <c r="BF15" s="64">
        <f>WEEKDAY(Sheet_1_Table_1_13[[#This Row],[Lesson 1 
Date 
(DD-MMM-YYYY)]])</f>
        <v>3</v>
      </c>
      <c r="BG15" s="65">
        <v>0.72916666666666663</v>
      </c>
      <c r="BH15" s="66">
        <v>0.8125</v>
      </c>
      <c r="BI15" s="92" t="s">
        <v>930</v>
      </c>
      <c r="BJ15" s="98">
        <v>46336</v>
      </c>
      <c r="BK15" s="64">
        <f>WEEKDAY(Sheet_1_Table_1_13[[#This Row],[Lesson 1 
Date 
(DD-MMM-YYYY)]])</f>
        <v>3</v>
      </c>
      <c r="BL15" s="65">
        <v>0.72916666666666663</v>
      </c>
      <c r="BM15" s="66">
        <v>0.8125</v>
      </c>
      <c r="BN15" s="92" t="s">
        <v>930</v>
      </c>
      <c r="BO15" s="54" t="s">
        <v>293</v>
      </c>
      <c r="BP15" s="69" t="s">
        <v>984</v>
      </c>
      <c r="BQ15" s="69" t="s">
        <v>985</v>
      </c>
      <c r="BR15" s="57" t="s">
        <v>986</v>
      </c>
      <c r="BS15" s="54"/>
      <c r="BT15" s="56"/>
      <c r="BU15" s="56"/>
      <c r="BV15" s="57"/>
      <c r="BW15" s="60">
        <v>100</v>
      </c>
      <c r="BX15" s="71">
        <v>0</v>
      </c>
      <c r="BY15" s="56" t="s">
        <v>149</v>
      </c>
      <c r="BZ15" s="56"/>
      <c r="CA15" s="56" t="s">
        <v>911</v>
      </c>
      <c r="CB15" s="72"/>
      <c r="CC15" s="72"/>
      <c r="CD15" s="72"/>
      <c r="CE15" s="56" t="s">
        <v>912</v>
      </c>
      <c r="CF15" s="57" t="s">
        <v>913</v>
      </c>
      <c r="CG15" s="60" t="s">
        <v>914</v>
      </c>
      <c r="CH15" s="71" t="s">
        <v>915</v>
      </c>
      <c r="CI15" s="52" t="s">
        <v>146</v>
      </c>
      <c r="CJ15" s="52" t="s">
        <v>142</v>
      </c>
      <c r="CK15" s="52" t="s">
        <v>142</v>
      </c>
      <c r="CL15" s="52" t="s">
        <v>146</v>
      </c>
      <c r="CM15" s="52" t="s">
        <v>142</v>
      </c>
      <c r="CN15" s="52" t="s">
        <v>142</v>
      </c>
      <c r="CO15" s="52" t="s">
        <v>142</v>
      </c>
      <c r="CP15" s="52" t="s">
        <v>142</v>
      </c>
      <c r="CQ15" s="52" t="s">
        <v>142</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N15" s="790"/>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14.75" customHeight="1">
      <c r="A16" s="48">
        <v>14</v>
      </c>
      <c r="B16" s="49">
        <v>202609</v>
      </c>
      <c r="C16" s="50" t="s">
        <v>987</v>
      </c>
      <c r="D16" s="50"/>
      <c r="E16" s="51">
        <v>5686</v>
      </c>
      <c r="F16" s="52" t="s">
        <v>134</v>
      </c>
      <c r="G16" s="53" t="s">
        <v>899</v>
      </c>
      <c r="H16" s="97" t="s">
        <v>900</v>
      </c>
      <c r="I16" s="53" t="s">
        <v>901</v>
      </c>
      <c r="J16" s="54" t="s">
        <v>988</v>
      </c>
      <c r="K16" s="55" t="s">
        <v>989</v>
      </c>
      <c r="L16" s="55">
        <v>1</v>
      </c>
      <c r="M16" s="56" t="s">
        <v>990</v>
      </c>
      <c r="N16" s="57" t="s">
        <v>991</v>
      </c>
      <c r="O16" s="58" t="s">
        <v>146</v>
      </c>
      <c r="P16" s="96" t="s">
        <v>146</v>
      </c>
      <c r="Q16" s="60" t="s">
        <v>906</v>
      </c>
      <c r="R16" s="61" t="s">
        <v>907</v>
      </c>
      <c r="S16" s="55">
        <v>0</v>
      </c>
      <c r="T16" s="55">
        <v>0</v>
      </c>
      <c r="U16" s="55">
        <v>100</v>
      </c>
      <c r="V16" s="55">
        <v>0</v>
      </c>
      <c r="W16" s="55">
        <v>0</v>
      </c>
      <c r="X16" s="55">
        <v>0</v>
      </c>
      <c r="Y16" s="55">
        <v>0</v>
      </c>
      <c r="Z16" s="55">
        <v>0</v>
      </c>
      <c r="AA16" s="55">
        <v>0</v>
      </c>
      <c r="AB16" s="53">
        <v>100</v>
      </c>
      <c r="AC16" s="52" t="s">
        <v>199</v>
      </c>
      <c r="AD16" s="55" t="s">
        <v>190</v>
      </c>
      <c r="AE16" s="55" t="s">
        <v>146</v>
      </c>
      <c r="AF16" s="55" t="s">
        <v>146</v>
      </c>
      <c r="AG16" s="55" t="s">
        <v>142</v>
      </c>
      <c r="AH16" s="55">
        <v>8</v>
      </c>
      <c r="AI16" s="55">
        <v>16</v>
      </c>
      <c r="AJ16" s="62">
        <v>128</v>
      </c>
      <c r="AK16" s="63">
        <v>46302</v>
      </c>
      <c r="AL16" s="64">
        <f>WEEKDAY(Sheet_1_Table_1_13[[#This Row],[Lesson 1 
Date 
(DD-MMM-YYYY)]])</f>
        <v>4</v>
      </c>
      <c r="AM16" s="65">
        <v>0.41666666666666669</v>
      </c>
      <c r="AN16" s="66">
        <v>0.47916666666666669</v>
      </c>
      <c r="AO16" s="103" t="s">
        <v>992</v>
      </c>
      <c r="AP16" s="68">
        <v>46309</v>
      </c>
      <c r="AQ16" s="64">
        <f>WEEKDAY(Sheet_1_Table_1_13[[#This Row],[Lesson 1 
Date 
(DD-MMM-YYYY)]])</f>
        <v>4</v>
      </c>
      <c r="AR16" s="65">
        <v>0.41666666666666669</v>
      </c>
      <c r="AS16" s="66">
        <v>0.47916666666666669</v>
      </c>
      <c r="AT16" s="103" t="s">
        <v>992</v>
      </c>
      <c r="AU16" s="63">
        <v>46316</v>
      </c>
      <c r="AV16" s="64">
        <f>WEEKDAY(Sheet_1_Table_1_13[[#This Row],[Lesson 1 
Date 
(DD-MMM-YYYY)]])</f>
        <v>4</v>
      </c>
      <c r="AW16" s="65">
        <v>0.41666666666666669</v>
      </c>
      <c r="AX16" s="66">
        <v>0.47916666666666669</v>
      </c>
      <c r="AY16" s="103" t="s">
        <v>992</v>
      </c>
      <c r="AZ16" s="98">
        <v>46323</v>
      </c>
      <c r="BA16" s="64">
        <f>WEEKDAY(Sheet_1_Table_1_13[[#This Row],[Lesson 1 
Date 
(DD-MMM-YYYY)]])</f>
        <v>4</v>
      </c>
      <c r="BB16" s="65">
        <v>0.41666666666666669</v>
      </c>
      <c r="BC16" s="66">
        <v>0.47916666666666669</v>
      </c>
      <c r="BD16" s="103" t="s">
        <v>992</v>
      </c>
      <c r="BE16" s="63">
        <v>46330</v>
      </c>
      <c r="BF16" s="64">
        <f>WEEKDAY(Sheet_1_Table_1_13[[#This Row],[Lesson 1 
Date 
(DD-MMM-YYYY)]])</f>
        <v>4</v>
      </c>
      <c r="BG16" s="65">
        <v>0.41666666666666669</v>
      </c>
      <c r="BH16" s="66">
        <v>0.47916666666666669</v>
      </c>
      <c r="BI16" s="103" t="s">
        <v>992</v>
      </c>
      <c r="BJ16" s="98">
        <v>46337</v>
      </c>
      <c r="BK16" s="64">
        <f>WEEKDAY(Sheet_1_Table_1_13[[#This Row],[Lesson 1 
Date 
(DD-MMM-YYYY)]])</f>
        <v>4</v>
      </c>
      <c r="BL16" s="65">
        <v>0.41666666666666669</v>
      </c>
      <c r="BM16" s="66">
        <v>0.47916666666666669</v>
      </c>
      <c r="BN16" s="103" t="s">
        <v>992</v>
      </c>
      <c r="BO16" s="54" t="s">
        <v>293</v>
      </c>
      <c r="BP16" s="69" t="s">
        <v>842</v>
      </c>
      <c r="BQ16" s="69" t="s">
        <v>993</v>
      </c>
      <c r="BR16" s="57" t="s">
        <v>994</v>
      </c>
      <c r="BS16" s="54"/>
      <c r="BT16" s="56"/>
      <c r="BU16" s="56"/>
      <c r="BV16" s="57"/>
      <c r="BW16" s="60">
        <v>100</v>
      </c>
      <c r="BX16" s="71">
        <v>0</v>
      </c>
      <c r="BY16" s="56" t="s">
        <v>149</v>
      </c>
      <c r="BZ16" s="56"/>
      <c r="CA16" s="56" t="s">
        <v>911</v>
      </c>
      <c r="CB16" s="72"/>
      <c r="CC16" s="72"/>
      <c r="CD16" s="72"/>
      <c r="CE16" s="56" t="s">
        <v>912</v>
      </c>
      <c r="CF16" s="57" t="s">
        <v>913</v>
      </c>
      <c r="CG16" s="60" t="s">
        <v>914</v>
      </c>
      <c r="CH16" s="71" t="s">
        <v>915</v>
      </c>
      <c r="CI16" s="52" t="s">
        <v>146</v>
      </c>
      <c r="CJ16" s="52" t="s">
        <v>142</v>
      </c>
      <c r="CK16" s="52" t="s">
        <v>142</v>
      </c>
      <c r="CL16" s="52" t="s">
        <v>146</v>
      </c>
      <c r="CM16" s="52" t="s">
        <v>142</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N16" s="790"/>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109.5" customHeight="1">
      <c r="A17" s="48">
        <v>15</v>
      </c>
      <c r="B17" s="49">
        <v>202609</v>
      </c>
      <c r="C17" s="50" t="s">
        <v>995</v>
      </c>
      <c r="D17" s="50"/>
      <c r="E17" s="51">
        <v>5695</v>
      </c>
      <c r="F17" s="52" t="s">
        <v>134</v>
      </c>
      <c r="G17" s="53" t="s">
        <v>899</v>
      </c>
      <c r="H17" s="97" t="s">
        <v>996</v>
      </c>
      <c r="I17" s="53" t="s">
        <v>997</v>
      </c>
      <c r="J17" s="54" t="s">
        <v>998</v>
      </c>
      <c r="K17" s="55" t="s">
        <v>999</v>
      </c>
      <c r="L17" s="55">
        <v>1</v>
      </c>
      <c r="M17" s="56" t="s">
        <v>1000</v>
      </c>
      <c r="N17" s="57" t="s">
        <v>1001</v>
      </c>
      <c r="O17" s="58" t="s">
        <v>146</v>
      </c>
      <c r="P17" s="96" t="s">
        <v>146</v>
      </c>
      <c r="Q17" s="60" t="s">
        <v>906</v>
      </c>
      <c r="R17" s="77" t="s">
        <v>907</v>
      </c>
      <c r="S17" s="55">
        <v>0</v>
      </c>
      <c r="T17" s="55">
        <v>0</v>
      </c>
      <c r="U17" s="55">
        <v>100</v>
      </c>
      <c r="V17" s="55">
        <v>0</v>
      </c>
      <c r="W17" s="55">
        <v>0</v>
      </c>
      <c r="X17" s="55">
        <v>0</v>
      </c>
      <c r="Y17" s="55">
        <v>0</v>
      </c>
      <c r="Z17" s="55">
        <v>0</v>
      </c>
      <c r="AA17" s="55">
        <v>0</v>
      </c>
      <c r="AB17" s="53">
        <v>100</v>
      </c>
      <c r="AC17" s="52" t="s">
        <v>199</v>
      </c>
      <c r="AD17" s="55" t="s">
        <v>190</v>
      </c>
      <c r="AE17" s="55" t="s">
        <v>146</v>
      </c>
      <c r="AF17" s="55" t="s">
        <v>146</v>
      </c>
      <c r="AG17" s="55" t="s">
        <v>142</v>
      </c>
      <c r="AH17" s="55">
        <v>8</v>
      </c>
      <c r="AI17" s="55">
        <v>16</v>
      </c>
      <c r="AJ17" s="62">
        <v>128</v>
      </c>
      <c r="AK17" s="63">
        <v>46302</v>
      </c>
      <c r="AL17" s="64">
        <f>WEEKDAY(Sheet_1_Table_1_13[[#This Row],[Lesson 1 
Date 
(DD-MMM-YYYY)]])</f>
        <v>4</v>
      </c>
      <c r="AM17" s="65">
        <v>0.60416666666666663</v>
      </c>
      <c r="AN17" s="66">
        <v>0.66666666666666663</v>
      </c>
      <c r="AO17" s="104" t="s">
        <v>930</v>
      </c>
      <c r="AP17" s="68">
        <v>46309</v>
      </c>
      <c r="AQ17" s="64">
        <f>WEEKDAY(Sheet_1_Table_1_13[[#This Row],[Lesson 1 
Date 
(DD-MMM-YYYY)]])</f>
        <v>4</v>
      </c>
      <c r="AR17" s="65">
        <v>0.60416666666666663</v>
      </c>
      <c r="AS17" s="66">
        <v>0.66666666666666663</v>
      </c>
      <c r="AT17" s="92" t="s">
        <v>930</v>
      </c>
      <c r="AU17" s="63">
        <v>46316</v>
      </c>
      <c r="AV17" s="64">
        <f>WEEKDAY(Sheet_1_Table_1_13[[#This Row],[Lesson 1 
Date 
(DD-MMM-YYYY)]])</f>
        <v>4</v>
      </c>
      <c r="AW17" s="65">
        <v>0.60416666666666663</v>
      </c>
      <c r="AX17" s="66">
        <v>0.66666666666666663</v>
      </c>
      <c r="AY17" s="92" t="s">
        <v>930</v>
      </c>
      <c r="AZ17" s="98">
        <v>46323</v>
      </c>
      <c r="BA17" s="64">
        <f>WEEKDAY(Sheet_1_Table_1_13[[#This Row],[Lesson 1 
Date 
(DD-MMM-YYYY)]])</f>
        <v>4</v>
      </c>
      <c r="BB17" s="65">
        <v>0.60416666666666663</v>
      </c>
      <c r="BC17" s="66">
        <v>0.66666666666666663</v>
      </c>
      <c r="BD17" s="92" t="s">
        <v>930</v>
      </c>
      <c r="BE17" s="63">
        <v>46330</v>
      </c>
      <c r="BF17" s="64">
        <f>WEEKDAY(Sheet_1_Table_1_13[[#This Row],[Lesson 1 
Date 
(DD-MMM-YYYY)]])</f>
        <v>4</v>
      </c>
      <c r="BG17" s="65">
        <v>0.60416666666666663</v>
      </c>
      <c r="BH17" s="66">
        <v>0.66666666666666663</v>
      </c>
      <c r="BI17" s="92" t="s">
        <v>930</v>
      </c>
      <c r="BJ17" s="98">
        <v>46337</v>
      </c>
      <c r="BK17" s="64">
        <f>WEEKDAY(Sheet_1_Table_1_13[[#This Row],[Lesson 1 
Date 
(DD-MMM-YYYY)]])</f>
        <v>4</v>
      </c>
      <c r="BL17" s="65">
        <v>0.60416666666666663</v>
      </c>
      <c r="BM17" s="66">
        <v>0.66666666666666663</v>
      </c>
      <c r="BN17" s="92" t="s">
        <v>930</v>
      </c>
      <c r="BO17" s="54" t="s">
        <v>163</v>
      </c>
      <c r="BP17" s="69" t="s">
        <v>1002</v>
      </c>
      <c r="BQ17" s="69" t="s">
        <v>777</v>
      </c>
      <c r="BR17" s="57" t="s">
        <v>1003</v>
      </c>
      <c r="BS17" s="54"/>
      <c r="BT17" s="56"/>
      <c r="BU17" s="56"/>
      <c r="BV17" s="57"/>
      <c r="BW17" s="60">
        <v>100</v>
      </c>
      <c r="BX17" s="71">
        <v>0</v>
      </c>
      <c r="BY17" s="56" t="s">
        <v>149</v>
      </c>
      <c r="BZ17" s="56"/>
      <c r="CA17" s="56" t="s">
        <v>911</v>
      </c>
      <c r="CB17" s="72"/>
      <c r="CC17" s="72"/>
      <c r="CD17" s="72"/>
      <c r="CE17" s="56" t="s">
        <v>912</v>
      </c>
      <c r="CF17" s="57" t="s">
        <v>913</v>
      </c>
      <c r="CG17" s="60" t="s">
        <v>914</v>
      </c>
      <c r="CH17" s="71" t="s">
        <v>915</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N17" s="790"/>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143.25" customHeight="1">
      <c r="A18" s="48">
        <v>16</v>
      </c>
      <c r="B18" s="49">
        <v>202609</v>
      </c>
      <c r="C18" s="50" t="s">
        <v>1004</v>
      </c>
      <c r="D18" s="50"/>
      <c r="E18" s="51">
        <v>5693</v>
      </c>
      <c r="F18" s="52" t="s">
        <v>134</v>
      </c>
      <c r="G18" s="53" t="s">
        <v>899</v>
      </c>
      <c r="H18" s="97" t="s">
        <v>996</v>
      </c>
      <c r="I18" s="53" t="s">
        <v>997</v>
      </c>
      <c r="J18" s="54" t="s">
        <v>1005</v>
      </c>
      <c r="K18" s="55" t="s">
        <v>1006</v>
      </c>
      <c r="L18" s="55"/>
      <c r="M18" s="56" t="s">
        <v>1007</v>
      </c>
      <c r="N18" s="57" t="s">
        <v>1008</v>
      </c>
      <c r="O18" s="78" t="s">
        <v>146</v>
      </c>
      <c r="P18" s="96" t="s">
        <v>146</v>
      </c>
      <c r="Q18" s="60" t="s">
        <v>906</v>
      </c>
      <c r="R18" s="61" t="s">
        <v>907</v>
      </c>
      <c r="S18" s="55">
        <v>0</v>
      </c>
      <c r="T18" s="55">
        <v>0</v>
      </c>
      <c r="U18" s="55">
        <v>100</v>
      </c>
      <c r="V18" s="55">
        <v>0</v>
      </c>
      <c r="W18" s="55">
        <v>0</v>
      </c>
      <c r="X18" s="55">
        <v>0</v>
      </c>
      <c r="Y18" s="55">
        <v>0</v>
      </c>
      <c r="Z18" s="55">
        <v>0</v>
      </c>
      <c r="AA18" s="55">
        <v>0</v>
      </c>
      <c r="AB18" s="53">
        <v>100</v>
      </c>
      <c r="AC18" s="52" t="s">
        <v>199</v>
      </c>
      <c r="AD18" s="55" t="s">
        <v>190</v>
      </c>
      <c r="AE18" s="55" t="s">
        <v>146</v>
      </c>
      <c r="AF18" s="55" t="s">
        <v>146</v>
      </c>
      <c r="AG18" s="55" t="s">
        <v>142</v>
      </c>
      <c r="AH18" s="55">
        <v>8</v>
      </c>
      <c r="AI18" s="55">
        <v>16</v>
      </c>
      <c r="AJ18" s="62">
        <f>Sheet_1_Table_1_13[[#This Row],[ILP Units Per Session]]*Sheet_1_Table_1_13[[#This Row],[Quota]]</f>
        <v>128</v>
      </c>
      <c r="AK18" s="63">
        <v>46302</v>
      </c>
      <c r="AL18" s="64">
        <f>WEEKDAY(Sheet_1_Table_1_13[[#This Row],[Lesson 1 
Date 
(DD-MMM-YYYY)]])</f>
        <v>4</v>
      </c>
      <c r="AM18" s="65">
        <v>0.66666666666666663</v>
      </c>
      <c r="AN18" s="66">
        <v>0.72916666666666663</v>
      </c>
      <c r="AO18" s="105" t="s">
        <v>930</v>
      </c>
      <c r="AP18" s="68">
        <v>46309</v>
      </c>
      <c r="AQ18" s="64">
        <f>WEEKDAY(Sheet_1_Table_1_13[[#This Row],[Lesson 1 
Date 
(DD-MMM-YYYY)]])</f>
        <v>4</v>
      </c>
      <c r="AR18" s="65">
        <v>0.66666666666666663</v>
      </c>
      <c r="AS18" s="66">
        <v>0.72916666666666663</v>
      </c>
      <c r="AT18" s="92" t="s">
        <v>930</v>
      </c>
      <c r="AU18" s="63">
        <v>46316</v>
      </c>
      <c r="AV18" s="64">
        <f>WEEKDAY(Sheet_1_Table_1_13[[#This Row],[Lesson 1 
Date 
(DD-MMM-YYYY)]])</f>
        <v>4</v>
      </c>
      <c r="AW18" s="65">
        <v>0.66666666666666663</v>
      </c>
      <c r="AX18" s="66">
        <v>0.72916666666666663</v>
      </c>
      <c r="AY18" s="92" t="s">
        <v>930</v>
      </c>
      <c r="AZ18" s="98">
        <v>46323</v>
      </c>
      <c r="BA18" s="64">
        <f>WEEKDAY(Sheet_1_Table_1_13[[#This Row],[Lesson 1 
Date 
(DD-MMM-YYYY)]])</f>
        <v>4</v>
      </c>
      <c r="BB18" s="65">
        <v>0.66666666666666663</v>
      </c>
      <c r="BC18" s="66">
        <v>0.72916666666666663</v>
      </c>
      <c r="BD18" s="92" t="s">
        <v>930</v>
      </c>
      <c r="BE18" s="63">
        <v>46330</v>
      </c>
      <c r="BF18" s="64">
        <f>WEEKDAY(Sheet_1_Table_1_13[[#This Row],[Lesson 1 
Date 
(DD-MMM-YYYY)]])</f>
        <v>4</v>
      </c>
      <c r="BG18" s="65">
        <v>0.66666666666666663</v>
      </c>
      <c r="BH18" s="66">
        <v>0.72916666666666663</v>
      </c>
      <c r="BI18" s="92" t="s">
        <v>930</v>
      </c>
      <c r="BJ18" s="98">
        <v>46337</v>
      </c>
      <c r="BK18" s="64">
        <f>WEEKDAY(Sheet_1_Table_1_13[[#This Row],[Lesson 1 
Date 
(DD-MMM-YYYY)]])</f>
        <v>4</v>
      </c>
      <c r="BL18" s="65">
        <v>0.66666666666666663</v>
      </c>
      <c r="BM18" s="66">
        <v>0.72916666666666663</v>
      </c>
      <c r="BN18" s="92" t="s">
        <v>930</v>
      </c>
      <c r="BO18" s="54" t="s">
        <v>163</v>
      </c>
      <c r="BP18" s="69" t="s">
        <v>1002</v>
      </c>
      <c r="BQ18" s="69" t="s">
        <v>777</v>
      </c>
      <c r="BR18" s="57" t="s">
        <v>1003</v>
      </c>
      <c r="BS18" s="54"/>
      <c r="BT18" s="56"/>
      <c r="BU18" s="56"/>
      <c r="BV18" s="57"/>
      <c r="BW18" s="60">
        <v>100</v>
      </c>
      <c r="BX18" s="71">
        <v>0</v>
      </c>
      <c r="BY18" s="56" t="s">
        <v>149</v>
      </c>
      <c r="BZ18" s="56"/>
      <c r="CA18" s="56" t="s">
        <v>911</v>
      </c>
      <c r="CB18" s="72"/>
      <c r="CC18" s="72"/>
      <c r="CD18" s="72"/>
      <c r="CE18" s="56" t="s">
        <v>912</v>
      </c>
      <c r="CF18" s="57" t="s">
        <v>913</v>
      </c>
      <c r="CG18" s="60" t="s">
        <v>914</v>
      </c>
      <c r="CH18" s="71" t="s">
        <v>915</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N18" s="790"/>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17</v>
      </c>
      <c r="B19" s="49">
        <v>202609</v>
      </c>
      <c r="C19" s="50" t="s">
        <v>1009</v>
      </c>
      <c r="D19" s="50"/>
      <c r="E19" s="51">
        <v>5692</v>
      </c>
      <c r="F19" s="52" t="s">
        <v>134</v>
      </c>
      <c r="G19" s="53" t="s">
        <v>899</v>
      </c>
      <c r="H19" s="95" t="s">
        <v>900</v>
      </c>
      <c r="I19" s="81" t="s">
        <v>901</v>
      </c>
      <c r="J19" s="54" t="s">
        <v>1010</v>
      </c>
      <c r="K19" s="55" t="s">
        <v>1011</v>
      </c>
      <c r="L19" s="55"/>
      <c r="M19" s="56" t="s">
        <v>1012</v>
      </c>
      <c r="N19" s="57" t="s">
        <v>1013</v>
      </c>
      <c r="O19" s="78" t="s">
        <v>146</v>
      </c>
      <c r="P19" s="96" t="s">
        <v>146</v>
      </c>
      <c r="Q19" s="60" t="s">
        <v>906</v>
      </c>
      <c r="R19" s="61" t="s">
        <v>907</v>
      </c>
      <c r="S19" s="55">
        <v>0</v>
      </c>
      <c r="T19" s="55">
        <v>0</v>
      </c>
      <c r="U19" s="55">
        <v>100</v>
      </c>
      <c r="V19" s="55">
        <v>0</v>
      </c>
      <c r="W19" s="55">
        <v>0</v>
      </c>
      <c r="X19" s="55">
        <v>0</v>
      </c>
      <c r="Y19" s="55">
        <v>0</v>
      </c>
      <c r="Z19" s="55">
        <v>0</v>
      </c>
      <c r="AA19" s="55">
        <v>0</v>
      </c>
      <c r="AB19" s="53">
        <v>100</v>
      </c>
      <c r="AC19" s="52" t="s">
        <v>199</v>
      </c>
      <c r="AD19" s="55" t="s">
        <v>190</v>
      </c>
      <c r="AE19" s="55" t="s">
        <v>146</v>
      </c>
      <c r="AF19" s="55" t="s">
        <v>146</v>
      </c>
      <c r="AG19" s="55" t="s">
        <v>142</v>
      </c>
      <c r="AH19" s="55">
        <v>8</v>
      </c>
      <c r="AI19" s="55">
        <v>16</v>
      </c>
      <c r="AJ19" s="62">
        <v>128</v>
      </c>
      <c r="AK19" s="63">
        <v>46303</v>
      </c>
      <c r="AL19" s="64">
        <f>WEEKDAY(Sheet_1_Table_1_13[[#This Row],[Lesson 1 
Date 
(DD-MMM-YYYY)]])</f>
        <v>5</v>
      </c>
      <c r="AM19" s="65">
        <v>0.66666666666666663</v>
      </c>
      <c r="AN19" s="66">
        <v>0.72916666666666663</v>
      </c>
      <c r="AO19" s="103" t="s">
        <v>975</v>
      </c>
      <c r="AP19" s="68">
        <v>46310</v>
      </c>
      <c r="AQ19" s="64">
        <f>WEEKDAY(Sheet_1_Table_1_13[[#This Row],[Lesson 1 
Date 
(DD-MMM-YYYY)]])</f>
        <v>5</v>
      </c>
      <c r="AR19" s="65">
        <v>0.66666666666666663</v>
      </c>
      <c r="AS19" s="66">
        <v>0.72916666666666663</v>
      </c>
      <c r="AT19" s="103" t="s">
        <v>975</v>
      </c>
      <c r="AU19" s="63">
        <v>46317</v>
      </c>
      <c r="AV19" s="64">
        <f>WEEKDAY(Sheet_1_Table_1_13[[#This Row],[Lesson 1 
Date 
(DD-MMM-YYYY)]])</f>
        <v>5</v>
      </c>
      <c r="AW19" s="65">
        <v>0.66666666666666663</v>
      </c>
      <c r="AX19" s="66">
        <v>0.72916666666666663</v>
      </c>
      <c r="AY19" s="103" t="s">
        <v>975</v>
      </c>
      <c r="AZ19" s="98">
        <v>46324</v>
      </c>
      <c r="BA19" s="64">
        <f>WEEKDAY(Sheet_1_Table_1_13[[#This Row],[Lesson 1 
Date 
(DD-MMM-YYYY)]])</f>
        <v>5</v>
      </c>
      <c r="BB19" s="65">
        <v>0.66666666666666663</v>
      </c>
      <c r="BC19" s="66">
        <v>0.72916666666666663</v>
      </c>
      <c r="BD19" s="103" t="s">
        <v>975</v>
      </c>
      <c r="BE19" s="63">
        <v>46331</v>
      </c>
      <c r="BF19" s="64">
        <f>WEEKDAY(Sheet_1_Table_1_13[[#This Row],[Lesson 1 
Date 
(DD-MMM-YYYY)]])</f>
        <v>5</v>
      </c>
      <c r="BG19" s="65">
        <v>0.66666666666666663</v>
      </c>
      <c r="BH19" s="66">
        <v>0.72916666666666663</v>
      </c>
      <c r="BI19" s="103" t="s">
        <v>975</v>
      </c>
      <c r="BJ19" s="98">
        <v>46338</v>
      </c>
      <c r="BK19" s="64">
        <f>WEEKDAY(Sheet_1_Table_1_13[[#This Row],[Lesson 1 
Date 
(DD-MMM-YYYY)]])</f>
        <v>5</v>
      </c>
      <c r="BL19" s="65">
        <v>0.66666666666666663</v>
      </c>
      <c r="BM19" s="66">
        <v>0.72916666666666663</v>
      </c>
      <c r="BN19" s="103" t="s">
        <v>975</v>
      </c>
      <c r="BO19" s="54" t="s">
        <v>163</v>
      </c>
      <c r="BP19" s="69" t="s">
        <v>1014</v>
      </c>
      <c r="BQ19" s="69" t="s">
        <v>1015</v>
      </c>
      <c r="BR19" s="57" t="s">
        <v>1016</v>
      </c>
      <c r="BS19" s="54"/>
      <c r="BT19" s="56"/>
      <c r="BU19" s="56"/>
      <c r="BV19" s="57"/>
      <c r="BW19" s="60">
        <v>100</v>
      </c>
      <c r="BX19" s="71">
        <v>0</v>
      </c>
      <c r="BY19" s="56" t="s">
        <v>149</v>
      </c>
      <c r="BZ19" s="56"/>
      <c r="CA19" s="56" t="s">
        <v>911</v>
      </c>
      <c r="CB19" s="72"/>
      <c r="CC19" s="72"/>
      <c r="CD19" s="72"/>
      <c r="CE19" s="56" t="s">
        <v>912</v>
      </c>
      <c r="CF19" s="57" t="s">
        <v>913</v>
      </c>
      <c r="CG19" s="60" t="s">
        <v>914</v>
      </c>
      <c r="CH19" s="71" t="s">
        <v>915</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N19" s="790"/>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105" customHeight="1">
      <c r="A20" s="48">
        <v>18</v>
      </c>
      <c r="B20" s="49">
        <v>202609</v>
      </c>
      <c r="C20" s="50" t="s">
        <v>1017</v>
      </c>
      <c r="D20" s="50"/>
      <c r="E20" s="51">
        <v>5682</v>
      </c>
      <c r="F20" s="52" t="s">
        <v>134</v>
      </c>
      <c r="G20" s="53" t="s">
        <v>899</v>
      </c>
      <c r="H20" s="97" t="s">
        <v>900</v>
      </c>
      <c r="I20" s="53" t="s">
        <v>901</v>
      </c>
      <c r="J20" s="54" t="s">
        <v>1018</v>
      </c>
      <c r="K20" s="55" t="s">
        <v>1019</v>
      </c>
      <c r="L20" s="55">
        <v>1</v>
      </c>
      <c r="M20" s="56" t="s">
        <v>1020</v>
      </c>
      <c r="N20" s="57" t="s">
        <v>1021</v>
      </c>
      <c r="O20" s="58" t="s">
        <v>146</v>
      </c>
      <c r="P20" s="96" t="s">
        <v>146</v>
      </c>
      <c r="Q20" s="60" t="s">
        <v>906</v>
      </c>
      <c r="R20" s="77" t="s">
        <v>907</v>
      </c>
      <c r="S20" s="55">
        <v>0</v>
      </c>
      <c r="T20" s="55">
        <v>0</v>
      </c>
      <c r="U20" s="55">
        <v>100</v>
      </c>
      <c r="V20" s="55">
        <v>0</v>
      </c>
      <c r="W20" s="55">
        <v>0</v>
      </c>
      <c r="X20" s="55">
        <v>0</v>
      </c>
      <c r="Y20" s="55">
        <v>0</v>
      </c>
      <c r="Z20" s="55">
        <v>0</v>
      </c>
      <c r="AA20" s="55">
        <v>0</v>
      </c>
      <c r="AB20" s="53">
        <v>100</v>
      </c>
      <c r="AC20" s="52" t="s">
        <v>199</v>
      </c>
      <c r="AD20" s="55" t="s">
        <v>190</v>
      </c>
      <c r="AE20" s="55" t="s">
        <v>146</v>
      </c>
      <c r="AF20" s="55" t="s">
        <v>146</v>
      </c>
      <c r="AG20" s="55" t="s">
        <v>142</v>
      </c>
      <c r="AH20" s="55">
        <v>8</v>
      </c>
      <c r="AI20" s="55">
        <v>12</v>
      </c>
      <c r="AJ20" s="62">
        <v>96</v>
      </c>
      <c r="AK20" s="63">
        <v>46303</v>
      </c>
      <c r="AL20" s="64">
        <f>WEEKDAY(Sheet_1_Table_1_13[[#This Row],[Lesson 1 
Date 
(DD-MMM-YYYY)]])</f>
        <v>5</v>
      </c>
      <c r="AM20" s="65">
        <v>0.4375</v>
      </c>
      <c r="AN20" s="66">
        <v>0.5</v>
      </c>
      <c r="AO20" s="91" t="s">
        <v>1022</v>
      </c>
      <c r="AP20" s="68">
        <v>46310</v>
      </c>
      <c r="AQ20" s="64">
        <f>WEEKDAY(Sheet_1_Table_1_13[[#This Row],[Lesson 1 
Date 
(DD-MMM-YYYY)]])</f>
        <v>5</v>
      </c>
      <c r="AR20" s="65">
        <v>0.4375</v>
      </c>
      <c r="AS20" s="66">
        <v>0.5</v>
      </c>
      <c r="AT20" s="91" t="s">
        <v>1022</v>
      </c>
      <c r="AU20" s="63">
        <v>46317</v>
      </c>
      <c r="AV20" s="64">
        <f>WEEKDAY(Sheet_1_Table_1_13[[#This Row],[Lesson 1 
Date 
(DD-MMM-YYYY)]])</f>
        <v>5</v>
      </c>
      <c r="AW20" s="65">
        <v>0.4375</v>
      </c>
      <c r="AX20" s="66">
        <v>0.5</v>
      </c>
      <c r="AY20" s="91" t="s">
        <v>1022</v>
      </c>
      <c r="AZ20" s="98">
        <v>46324</v>
      </c>
      <c r="BA20" s="64">
        <f>WEEKDAY(Sheet_1_Table_1_13[[#This Row],[Lesson 1 
Date 
(DD-MMM-YYYY)]])</f>
        <v>5</v>
      </c>
      <c r="BB20" s="65">
        <v>0.4375</v>
      </c>
      <c r="BC20" s="66">
        <v>0.5</v>
      </c>
      <c r="BD20" s="91" t="s">
        <v>1022</v>
      </c>
      <c r="BE20" s="63">
        <v>46331</v>
      </c>
      <c r="BF20" s="64">
        <f>WEEKDAY(Sheet_1_Table_1_13[[#This Row],[Lesson 1 
Date 
(DD-MMM-YYYY)]])</f>
        <v>5</v>
      </c>
      <c r="BG20" s="65">
        <v>0.4375</v>
      </c>
      <c r="BH20" s="66">
        <v>0.5</v>
      </c>
      <c r="BI20" s="91" t="s">
        <v>1022</v>
      </c>
      <c r="BJ20" s="98">
        <v>46338</v>
      </c>
      <c r="BK20" s="64">
        <f>WEEKDAY(Sheet_1_Table_1_13[[#This Row],[Lesson 1 
Date 
(DD-MMM-YYYY)]])</f>
        <v>5</v>
      </c>
      <c r="BL20" s="65">
        <v>0.4375</v>
      </c>
      <c r="BM20" s="66">
        <v>0.5</v>
      </c>
      <c r="BN20" s="91" t="s">
        <v>1022</v>
      </c>
      <c r="BO20" s="54" t="s">
        <v>293</v>
      </c>
      <c r="BP20" s="69" t="s">
        <v>1023</v>
      </c>
      <c r="BQ20" s="69" t="s">
        <v>402</v>
      </c>
      <c r="BR20" s="57" t="s">
        <v>1024</v>
      </c>
      <c r="BS20" s="54"/>
      <c r="BT20" s="56"/>
      <c r="BU20" s="56"/>
      <c r="BV20" s="57"/>
      <c r="BW20" s="60">
        <v>100</v>
      </c>
      <c r="BX20" s="71">
        <v>0</v>
      </c>
      <c r="BY20" s="56" t="s">
        <v>149</v>
      </c>
      <c r="BZ20" s="56"/>
      <c r="CA20" s="56" t="s">
        <v>911</v>
      </c>
      <c r="CB20" s="72"/>
      <c r="CC20" s="72"/>
      <c r="CD20" s="72"/>
      <c r="CE20" s="56" t="s">
        <v>912</v>
      </c>
      <c r="CF20" s="57" t="s">
        <v>913</v>
      </c>
      <c r="CG20" s="60" t="s">
        <v>914</v>
      </c>
      <c r="CH20" s="71" t="s">
        <v>915</v>
      </c>
      <c r="CI20" s="52" t="s">
        <v>146</v>
      </c>
      <c r="CJ20" s="52" t="s">
        <v>142</v>
      </c>
      <c r="CK20" s="52" t="s">
        <v>142</v>
      </c>
      <c r="CL20" s="52" t="s">
        <v>146</v>
      </c>
      <c r="CM20" s="52" t="s">
        <v>142</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N20" s="790"/>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116.25" customHeight="1">
      <c r="A21" s="48">
        <v>19</v>
      </c>
      <c r="B21" s="49">
        <v>202609</v>
      </c>
      <c r="C21" s="50" t="s">
        <v>1017</v>
      </c>
      <c r="D21" s="50"/>
      <c r="E21" s="51">
        <v>5683</v>
      </c>
      <c r="F21" s="52" t="s">
        <v>134</v>
      </c>
      <c r="G21" s="53" t="s">
        <v>899</v>
      </c>
      <c r="H21" s="97" t="s">
        <v>900</v>
      </c>
      <c r="I21" s="53" t="s">
        <v>901</v>
      </c>
      <c r="J21" s="54" t="s">
        <v>1018</v>
      </c>
      <c r="K21" s="55" t="s">
        <v>1019</v>
      </c>
      <c r="L21" s="55">
        <v>2</v>
      </c>
      <c r="M21" s="57" t="s">
        <v>1020</v>
      </c>
      <c r="N21" s="57" t="s">
        <v>1021</v>
      </c>
      <c r="O21" s="58" t="s">
        <v>146</v>
      </c>
      <c r="P21" s="96" t="s">
        <v>146</v>
      </c>
      <c r="Q21" s="60" t="s">
        <v>906</v>
      </c>
      <c r="R21" s="61" t="s">
        <v>907</v>
      </c>
      <c r="S21" s="55">
        <v>0</v>
      </c>
      <c r="T21" s="55">
        <v>0</v>
      </c>
      <c r="U21" s="55">
        <v>100</v>
      </c>
      <c r="V21" s="55">
        <v>0</v>
      </c>
      <c r="W21" s="55">
        <v>0</v>
      </c>
      <c r="X21" s="55">
        <v>0</v>
      </c>
      <c r="Y21" s="55">
        <v>0</v>
      </c>
      <c r="Z21" s="55">
        <v>0</v>
      </c>
      <c r="AA21" s="55">
        <v>0</v>
      </c>
      <c r="AB21" s="53">
        <v>100</v>
      </c>
      <c r="AC21" s="52" t="s">
        <v>199</v>
      </c>
      <c r="AD21" s="55" t="s">
        <v>190</v>
      </c>
      <c r="AE21" s="55" t="s">
        <v>146</v>
      </c>
      <c r="AF21" s="55" t="s">
        <v>146</v>
      </c>
      <c r="AG21" s="55" t="s">
        <v>142</v>
      </c>
      <c r="AH21" s="55">
        <v>8</v>
      </c>
      <c r="AI21" s="55">
        <v>12</v>
      </c>
      <c r="AJ21" s="62">
        <v>96</v>
      </c>
      <c r="AK21" s="63">
        <v>46303</v>
      </c>
      <c r="AL21" s="64">
        <f>WEEKDAY(Sheet_1_Table_1_13[[#This Row],[Lesson 1 
Date 
(DD-MMM-YYYY)]])</f>
        <v>5</v>
      </c>
      <c r="AM21" s="65">
        <v>0.5</v>
      </c>
      <c r="AN21" s="66">
        <v>0.5625</v>
      </c>
      <c r="AO21" s="91" t="s">
        <v>1022</v>
      </c>
      <c r="AP21" s="68">
        <v>46310</v>
      </c>
      <c r="AQ21" s="64">
        <f>WEEKDAY(Sheet_1_Table_1_13[[#This Row],[Lesson 1 
Date 
(DD-MMM-YYYY)]])</f>
        <v>5</v>
      </c>
      <c r="AR21" s="65">
        <v>0.5</v>
      </c>
      <c r="AS21" s="66">
        <v>0.5625</v>
      </c>
      <c r="AT21" s="91" t="s">
        <v>1022</v>
      </c>
      <c r="AU21" s="63">
        <v>46317</v>
      </c>
      <c r="AV21" s="64">
        <f>WEEKDAY(Sheet_1_Table_1_13[[#This Row],[Lesson 1 
Date 
(DD-MMM-YYYY)]])</f>
        <v>5</v>
      </c>
      <c r="AW21" s="65">
        <v>0.5</v>
      </c>
      <c r="AX21" s="66">
        <v>0.5625</v>
      </c>
      <c r="AY21" s="91" t="s">
        <v>1022</v>
      </c>
      <c r="AZ21" s="98">
        <v>46324</v>
      </c>
      <c r="BA21" s="64">
        <f>WEEKDAY(Sheet_1_Table_1_13[[#This Row],[Lesson 1 
Date 
(DD-MMM-YYYY)]])</f>
        <v>5</v>
      </c>
      <c r="BB21" s="65">
        <v>0.5</v>
      </c>
      <c r="BC21" s="66">
        <v>0.5625</v>
      </c>
      <c r="BD21" s="91" t="s">
        <v>1022</v>
      </c>
      <c r="BE21" s="63">
        <v>46331</v>
      </c>
      <c r="BF21" s="64">
        <f>WEEKDAY(Sheet_1_Table_1_13[[#This Row],[Lesson 1 
Date 
(DD-MMM-YYYY)]])</f>
        <v>5</v>
      </c>
      <c r="BG21" s="65">
        <v>0.5</v>
      </c>
      <c r="BH21" s="66">
        <v>0.5625</v>
      </c>
      <c r="BI21" s="91" t="s">
        <v>1022</v>
      </c>
      <c r="BJ21" s="98">
        <v>46338</v>
      </c>
      <c r="BK21" s="64">
        <f>WEEKDAY(Sheet_1_Table_1_13[[#This Row],[Lesson 1 
Date 
(DD-MMM-YYYY)]])</f>
        <v>5</v>
      </c>
      <c r="BL21" s="65">
        <v>0.5</v>
      </c>
      <c r="BM21" s="66">
        <v>0.5625</v>
      </c>
      <c r="BN21" s="91" t="s">
        <v>1022</v>
      </c>
      <c r="BO21" s="54" t="s">
        <v>293</v>
      </c>
      <c r="BP21" s="69" t="s">
        <v>1023</v>
      </c>
      <c r="BQ21" s="69" t="s">
        <v>402</v>
      </c>
      <c r="BR21" s="57" t="s">
        <v>1024</v>
      </c>
      <c r="BS21" s="54"/>
      <c r="BT21" s="56"/>
      <c r="BU21" s="56"/>
      <c r="BV21" s="57"/>
      <c r="BW21" s="60">
        <v>100</v>
      </c>
      <c r="BX21" s="71">
        <v>0</v>
      </c>
      <c r="BY21" s="56" t="s">
        <v>149</v>
      </c>
      <c r="BZ21" s="56"/>
      <c r="CA21" s="56" t="s">
        <v>911</v>
      </c>
      <c r="CB21" s="72"/>
      <c r="CC21" s="72"/>
      <c r="CD21" s="72"/>
      <c r="CE21" s="56" t="s">
        <v>912</v>
      </c>
      <c r="CF21" s="57" t="s">
        <v>913</v>
      </c>
      <c r="CG21" s="60" t="s">
        <v>914</v>
      </c>
      <c r="CH21" s="71" t="s">
        <v>915</v>
      </c>
      <c r="CI21" s="52" t="s">
        <v>146</v>
      </c>
      <c r="CJ21" s="52" t="s">
        <v>142</v>
      </c>
      <c r="CK21" s="52" t="s">
        <v>142</v>
      </c>
      <c r="CL21" s="52" t="s">
        <v>146</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N21" s="790"/>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119.25" customHeight="1">
      <c r="A22" s="48">
        <v>20</v>
      </c>
      <c r="B22" s="49">
        <v>202609</v>
      </c>
      <c r="C22" s="50" t="s">
        <v>1017</v>
      </c>
      <c r="D22" s="50"/>
      <c r="E22" s="51">
        <v>5684</v>
      </c>
      <c r="F22" s="52" t="s">
        <v>134</v>
      </c>
      <c r="G22" s="53" t="s">
        <v>899</v>
      </c>
      <c r="H22" s="97" t="s">
        <v>900</v>
      </c>
      <c r="I22" s="53" t="s">
        <v>901</v>
      </c>
      <c r="J22" s="54" t="s">
        <v>1018</v>
      </c>
      <c r="K22" s="55" t="s">
        <v>1019</v>
      </c>
      <c r="L22" s="55">
        <v>3</v>
      </c>
      <c r="M22" s="56" t="s">
        <v>1020</v>
      </c>
      <c r="N22" s="57" t="s">
        <v>1021</v>
      </c>
      <c r="O22" s="78" t="s">
        <v>146</v>
      </c>
      <c r="P22" s="96" t="s">
        <v>146</v>
      </c>
      <c r="Q22" s="60" t="s">
        <v>906</v>
      </c>
      <c r="R22" s="77" t="s">
        <v>907</v>
      </c>
      <c r="S22" s="55">
        <v>0</v>
      </c>
      <c r="T22" s="55">
        <v>0</v>
      </c>
      <c r="U22" s="55">
        <v>100</v>
      </c>
      <c r="V22" s="55">
        <v>0</v>
      </c>
      <c r="W22" s="55">
        <v>0</v>
      </c>
      <c r="X22" s="55">
        <v>0</v>
      </c>
      <c r="Y22" s="55">
        <v>0</v>
      </c>
      <c r="Z22" s="55">
        <v>0</v>
      </c>
      <c r="AA22" s="55">
        <v>0</v>
      </c>
      <c r="AB22" s="53">
        <v>100</v>
      </c>
      <c r="AC22" s="52" t="s">
        <v>199</v>
      </c>
      <c r="AD22" s="55" t="s">
        <v>190</v>
      </c>
      <c r="AE22" s="55" t="s">
        <v>146</v>
      </c>
      <c r="AF22" s="55" t="s">
        <v>146</v>
      </c>
      <c r="AG22" s="55" t="s">
        <v>142</v>
      </c>
      <c r="AH22" s="55">
        <v>8</v>
      </c>
      <c r="AI22" s="55">
        <v>12</v>
      </c>
      <c r="AJ22" s="62">
        <v>96</v>
      </c>
      <c r="AK22" s="63">
        <v>46303</v>
      </c>
      <c r="AL22" s="64">
        <f>WEEKDAY(Sheet_1_Table_1_13[[#This Row],[Lesson 1 
Date 
(DD-MMM-YYYY)]])</f>
        <v>5</v>
      </c>
      <c r="AM22" s="65">
        <v>0.60416666666666663</v>
      </c>
      <c r="AN22" s="66">
        <v>0.66666666666666663</v>
      </c>
      <c r="AO22" s="91" t="s">
        <v>1022</v>
      </c>
      <c r="AP22" s="68">
        <v>46310</v>
      </c>
      <c r="AQ22" s="64">
        <f>WEEKDAY(Sheet_1_Table_1_13[[#This Row],[Lesson 1 
Date 
(DD-MMM-YYYY)]])</f>
        <v>5</v>
      </c>
      <c r="AR22" s="65">
        <v>0.60416666666666663</v>
      </c>
      <c r="AS22" s="66">
        <v>0.66666666666666663</v>
      </c>
      <c r="AT22" s="91" t="s">
        <v>1022</v>
      </c>
      <c r="AU22" s="63">
        <v>46317</v>
      </c>
      <c r="AV22" s="64">
        <f>WEEKDAY(Sheet_1_Table_1_13[[#This Row],[Lesson 1 
Date 
(DD-MMM-YYYY)]])</f>
        <v>5</v>
      </c>
      <c r="AW22" s="65">
        <v>0.60416666666666663</v>
      </c>
      <c r="AX22" s="66">
        <v>0.66666666666666663</v>
      </c>
      <c r="AY22" s="91" t="s">
        <v>1022</v>
      </c>
      <c r="AZ22" s="98">
        <v>46324</v>
      </c>
      <c r="BA22" s="64">
        <f>WEEKDAY(Sheet_1_Table_1_13[[#This Row],[Lesson 1 
Date 
(DD-MMM-YYYY)]])</f>
        <v>5</v>
      </c>
      <c r="BB22" s="65">
        <v>0.60416666666666663</v>
      </c>
      <c r="BC22" s="66">
        <v>0.66666666666666663</v>
      </c>
      <c r="BD22" s="91" t="s">
        <v>1022</v>
      </c>
      <c r="BE22" s="63">
        <v>46331</v>
      </c>
      <c r="BF22" s="64">
        <f>WEEKDAY(Sheet_1_Table_1_13[[#This Row],[Lesson 1 
Date 
(DD-MMM-YYYY)]])</f>
        <v>5</v>
      </c>
      <c r="BG22" s="65">
        <v>0.60416666666666663</v>
      </c>
      <c r="BH22" s="66">
        <v>0.66666666666666663</v>
      </c>
      <c r="BI22" s="91" t="s">
        <v>1022</v>
      </c>
      <c r="BJ22" s="98">
        <v>46338</v>
      </c>
      <c r="BK22" s="64">
        <f>WEEKDAY(Sheet_1_Table_1_13[[#This Row],[Lesson 1 
Date 
(DD-MMM-YYYY)]])</f>
        <v>5</v>
      </c>
      <c r="BL22" s="65">
        <v>0.60416666666666663</v>
      </c>
      <c r="BM22" s="66">
        <v>0.66666666666666663</v>
      </c>
      <c r="BN22" s="91" t="s">
        <v>1022</v>
      </c>
      <c r="BO22" s="54" t="s">
        <v>293</v>
      </c>
      <c r="BP22" s="69" t="s">
        <v>1023</v>
      </c>
      <c r="BQ22" s="69" t="s">
        <v>402</v>
      </c>
      <c r="BR22" s="57" t="s">
        <v>1024</v>
      </c>
      <c r="BS22" s="54"/>
      <c r="BT22" s="56"/>
      <c r="BU22" s="56"/>
      <c r="BV22" s="57"/>
      <c r="BW22" s="60">
        <v>100</v>
      </c>
      <c r="BX22" s="71">
        <v>0</v>
      </c>
      <c r="BY22" s="56" t="s">
        <v>149</v>
      </c>
      <c r="BZ22" s="56"/>
      <c r="CA22" s="56" t="s">
        <v>911</v>
      </c>
      <c r="CB22" s="72"/>
      <c r="CC22" s="72"/>
      <c r="CD22" s="72"/>
      <c r="CE22" s="56" t="s">
        <v>912</v>
      </c>
      <c r="CF22" s="57" t="s">
        <v>913</v>
      </c>
      <c r="CG22" s="60" t="s">
        <v>914</v>
      </c>
      <c r="CH22" s="71" t="s">
        <v>915</v>
      </c>
      <c r="CI22" s="52" t="s">
        <v>146</v>
      </c>
      <c r="CJ22" s="52" t="s">
        <v>142</v>
      </c>
      <c r="CK22" s="52" t="s">
        <v>142</v>
      </c>
      <c r="CL22" s="52" t="s">
        <v>146</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N22" s="790"/>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103.5" customHeight="1">
      <c r="A23" s="48">
        <v>21</v>
      </c>
      <c r="B23" s="49">
        <v>202609</v>
      </c>
      <c r="C23" s="50" t="s">
        <v>987</v>
      </c>
      <c r="D23" s="50"/>
      <c r="E23" s="51">
        <v>5687</v>
      </c>
      <c r="F23" s="52" t="s">
        <v>134</v>
      </c>
      <c r="G23" s="53" t="s">
        <v>899</v>
      </c>
      <c r="H23" s="97" t="s">
        <v>900</v>
      </c>
      <c r="I23" s="53" t="s">
        <v>901</v>
      </c>
      <c r="J23" s="54" t="s">
        <v>988</v>
      </c>
      <c r="K23" s="55" t="s">
        <v>989</v>
      </c>
      <c r="L23" s="55">
        <v>2</v>
      </c>
      <c r="M23" s="56" t="s">
        <v>990</v>
      </c>
      <c r="N23" s="57" t="s">
        <v>991</v>
      </c>
      <c r="O23" s="78" t="s">
        <v>146</v>
      </c>
      <c r="P23" s="96" t="s">
        <v>146</v>
      </c>
      <c r="Q23" s="60" t="s">
        <v>906</v>
      </c>
      <c r="R23" s="61" t="s">
        <v>907</v>
      </c>
      <c r="S23" s="55">
        <v>0</v>
      </c>
      <c r="T23" s="55">
        <v>0</v>
      </c>
      <c r="U23" s="55">
        <v>100</v>
      </c>
      <c r="V23" s="55">
        <v>0</v>
      </c>
      <c r="W23" s="55">
        <v>0</v>
      </c>
      <c r="X23" s="55">
        <v>0</v>
      </c>
      <c r="Y23" s="55">
        <v>0</v>
      </c>
      <c r="Z23" s="55">
        <v>0</v>
      </c>
      <c r="AA23" s="55">
        <v>0</v>
      </c>
      <c r="AB23" s="53">
        <v>100</v>
      </c>
      <c r="AC23" s="52" t="s">
        <v>199</v>
      </c>
      <c r="AD23" s="55" t="s">
        <v>190</v>
      </c>
      <c r="AE23" s="55" t="s">
        <v>146</v>
      </c>
      <c r="AF23" s="55" t="s">
        <v>146</v>
      </c>
      <c r="AG23" s="55" t="s">
        <v>142</v>
      </c>
      <c r="AH23" s="55">
        <v>8</v>
      </c>
      <c r="AI23" s="55">
        <v>16</v>
      </c>
      <c r="AJ23" s="62">
        <v>128</v>
      </c>
      <c r="AK23" s="63">
        <v>46303</v>
      </c>
      <c r="AL23" s="64">
        <f>WEEKDAY(Sheet_1_Table_1_13[[#This Row],[Lesson 1 
Date 
(DD-MMM-YYYY)]])</f>
        <v>5</v>
      </c>
      <c r="AM23" s="65">
        <v>0.41666666666666669</v>
      </c>
      <c r="AN23" s="66">
        <v>0.47916666666666669</v>
      </c>
      <c r="AO23" s="103" t="s">
        <v>992</v>
      </c>
      <c r="AP23" s="68">
        <v>46310</v>
      </c>
      <c r="AQ23" s="64">
        <f>WEEKDAY(Sheet_1_Table_1_13[[#This Row],[Lesson 1 
Date 
(DD-MMM-YYYY)]])</f>
        <v>5</v>
      </c>
      <c r="AR23" s="65">
        <v>0.41666666666666669</v>
      </c>
      <c r="AS23" s="66">
        <v>0.47916666666666669</v>
      </c>
      <c r="AT23" s="103" t="s">
        <v>992</v>
      </c>
      <c r="AU23" s="63">
        <v>46317</v>
      </c>
      <c r="AV23" s="64">
        <f>WEEKDAY(Sheet_1_Table_1_13[[#This Row],[Lesson 1 
Date 
(DD-MMM-YYYY)]])</f>
        <v>5</v>
      </c>
      <c r="AW23" s="65">
        <v>0.41666666666666669</v>
      </c>
      <c r="AX23" s="66">
        <v>0.47916666666666669</v>
      </c>
      <c r="AY23" s="103" t="s">
        <v>992</v>
      </c>
      <c r="AZ23" s="98">
        <v>46324</v>
      </c>
      <c r="BA23" s="64">
        <f>WEEKDAY(Sheet_1_Table_1_13[[#This Row],[Lesson 1 
Date 
(DD-MMM-YYYY)]])</f>
        <v>5</v>
      </c>
      <c r="BB23" s="65">
        <v>0.41666666666666669</v>
      </c>
      <c r="BC23" s="66">
        <v>0.47916666666666669</v>
      </c>
      <c r="BD23" s="103" t="s">
        <v>992</v>
      </c>
      <c r="BE23" s="63">
        <v>46331</v>
      </c>
      <c r="BF23" s="64">
        <f>WEEKDAY(Sheet_1_Table_1_13[[#This Row],[Lesson 1 
Date 
(DD-MMM-YYYY)]])</f>
        <v>5</v>
      </c>
      <c r="BG23" s="65">
        <v>0.41666666666666669</v>
      </c>
      <c r="BH23" s="66">
        <v>0.47916666666666669</v>
      </c>
      <c r="BI23" s="103" t="s">
        <v>992</v>
      </c>
      <c r="BJ23" s="98">
        <v>46338</v>
      </c>
      <c r="BK23" s="64">
        <f>WEEKDAY(Sheet_1_Table_1_13[[#This Row],[Lesson 1 
Date 
(DD-MMM-YYYY)]])</f>
        <v>5</v>
      </c>
      <c r="BL23" s="65">
        <v>0.41666666666666669</v>
      </c>
      <c r="BM23" s="66">
        <v>0.47916666666666669</v>
      </c>
      <c r="BN23" s="103" t="s">
        <v>992</v>
      </c>
      <c r="BO23" s="54" t="s">
        <v>293</v>
      </c>
      <c r="BP23" s="69" t="s">
        <v>842</v>
      </c>
      <c r="BQ23" s="69" t="s">
        <v>993</v>
      </c>
      <c r="BR23" s="57" t="s">
        <v>994</v>
      </c>
      <c r="BS23" s="54"/>
      <c r="BT23" s="56"/>
      <c r="BU23" s="56"/>
      <c r="BV23" s="57"/>
      <c r="BW23" s="60">
        <v>100</v>
      </c>
      <c r="BX23" s="71">
        <v>0</v>
      </c>
      <c r="BY23" s="56" t="s">
        <v>149</v>
      </c>
      <c r="BZ23" s="56"/>
      <c r="CA23" s="56" t="s">
        <v>911</v>
      </c>
      <c r="CB23" s="72"/>
      <c r="CC23" s="72"/>
      <c r="CD23" s="72"/>
      <c r="CE23" s="56" t="s">
        <v>912</v>
      </c>
      <c r="CF23" s="57" t="s">
        <v>913</v>
      </c>
      <c r="CG23" s="60" t="s">
        <v>914</v>
      </c>
      <c r="CH23" s="71" t="s">
        <v>915</v>
      </c>
      <c r="CI23" s="52" t="s">
        <v>146</v>
      </c>
      <c r="CJ23" s="52" t="s">
        <v>142</v>
      </c>
      <c r="CK23" s="52" t="s">
        <v>142</v>
      </c>
      <c r="CL23" s="52" t="s">
        <v>146</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N23" s="790"/>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114" customHeight="1">
      <c r="A24" s="48">
        <v>22</v>
      </c>
      <c r="B24" s="49">
        <v>202609</v>
      </c>
      <c r="C24" s="50" t="s">
        <v>1025</v>
      </c>
      <c r="D24" s="50"/>
      <c r="E24" s="51">
        <v>5691</v>
      </c>
      <c r="F24" s="52" t="s">
        <v>134</v>
      </c>
      <c r="G24" s="53" t="s">
        <v>899</v>
      </c>
      <c r="H24" s="97" t="s">
        <v>996</v>
      </c>
      <c r="I24" s="53" t="s">
        <v>997</v>
      </c>
      <c r="J24" s="54" t="s">
        <v>1026</v>
      </c>
      <c r="K24" s="55" t="s">
        <v>1027</v>
      </c>
      <c r="L24" s="55"/>
      <c r="M24" s="56" t="s">
        <v>1028</v>
      </c>
      <c r="N24" s="57" t="s">
        <v>1029</v>
      </c>
      <c r="O24" s="78" t="s">
        <v>146</v>
      </c>
      <c r="P24" s="96" t="s">
        <v>146</v>
      </c>
      <c r="Q24" s="60" t="s">
        <v>906</v>
      </c>
      <c r="R24" s="77" t="s">
        <v>907</v>
      </c>
      <c r="S24" s="55">
        <v>0</v>
      </c>
      <c r="T24" s="55">
        <v>0</v>
      </c>
      <c r="U24" s="55">
        <v>100</v>
      </c>
      <c r="V24" s="55">
        <v>0</v>
      </c>
      <c r="W24" s="55">
        <v>0</v>
      </c>
      <c r="X24" s="55">
        <v>0</v>
      </c>
      <c r="Y24" s="55">
        <v>0</v>
      </c>
      <c r="Z24" s="55">
        <v>0</v>
      </c>
      <c r="AA24" s="55">
        <v>0</v>
      </c>
      <c r="AB24" s="53">
        <v>100</v>
      </c>
      <c r="AC24" s="52" t="s">
        <v>199</v>
      </c>
      <c r="AD24" s="55" t="s">
        <v>190</v>
      </c>
      <c r="AE24" s="55" t="s">
        <v>146</v>
      </c>
      <c r="AF24" s="55" t="s">
        <v>146</v>
      </c>
      <c r="AG24" s="55" t="s">
        <v>142</v>
      </c>
      <c r="AH24" s="55">
        <v>8</v>
      </c>
      <c r="AI24" s="55">
        <v>16</v>
      </c>
      <c r="AJ24" s="62">
        <v>128</v>
      </c>
      <c r="AK24" s="63">
        <v>46303</v>
      </c>
      <c r="AL24" s="64">
        <f>WEEKDAY(Sheet_1_Table_1_13[[#This Row],[Lesson 1 
Date 
(DD-MMM-YYYY)]])</f>
        <v>5</v>
      </c>
      <c r="AM24" s="65">
        <v>0.41666666666666669</v>
      </c>
      <c r="AN24" s="66">
        <v>0.47916666666666669</v>
      </c>
      <c r="AO24" s="106" t="s">
        <v>1030</v>
      </c>
      <c r="AP24" s="68">
        <v>46310</v>
      </c>
      <c r="AQ24" s="64">
        <f>WEEKDAY(Sheet_1_Table_1_13[[#This Row],[Lesson 1 
Date 
(DD-MMM-YYYY)]])</f>
        <v>5</v>
      </c>
      <c r="AR24" s="65">
        <v>0.41666666666666669</v>
      </c>
      <c r="AS24" s="66">
        <v>0.47916666666666669</v>
      </c>
      <c r="AT24" s="107" t="s">
        <v>1030</v>
      </c>
      <c r="AU24" s="63">
        <v>46317</v>
      </c>
      <c r="AV24" s="64">
        <f>WEEKDAY(Sheet_1_Table_1_13[[#This Row],[Lesson 1 
Date 
(DD-MMM-YYYY)]])</f>
        <v>5</v>
      </c>
      <c r="AW24" s="65">
        <v>0.41666666666666669</v>
      </c>
      <c r="AX24" s="66">
        <v>0.47916666666666669</v>
      </c>
      <c r="AY24" s="107" t="s">
        <v>1030</v>
      </c>
      <c r="AZ24" s="98">
        <v>46324</v>
      </c>
      <c r="BA24" s="64">
        <f>WEEKDAY(Sheet_1_Table_1_13[[#This Row],[Lesson 1 
Date 
(DD-MMM-YYYY)]])</f>
        <v>5</v>
      </c>
      <c r="BB24" s="65">
        <v>0.41666666666666669</v>
      </c>
      <c r="BC24" s="66">
        <v>0.47916666666666669</v>
      </c>
      <c r="BD24" s="107" t="s">
        <v>1030</v>
      </c>
      <c r="BE24" s="63">
        <v>46331</v>
      </c>
      <c r="BF24" s="64">
        <f>WEEKDAY(Sheet_1_Table_1_13[[#This Row],[Lesson 1 
Date 
(DD-MMM-YYYY)]])</f>
        <v>5</v>
      </c>
      <c r="BG24" s="65">
        <v>0.41666666666666669</v>
      </c>
      <c r="BH24" s="66">
        <v>0.47916666666666669</v>
      </c>
      <c r="BI24" s="107" t="s">
        <v>1030</v>
      </c>
      <c r="BJ24" s="98">
        <v>46338</v>
      </c>
      <c r="BK24" s="64">
        <f>WEEKDAY(Sheet_1_Table_1_13[[#This Row],[Lesson 1 
Date 
(DD-MMM-YYYY)]])</f>
        <v>5</v>
      </c>
      <c r="BL24" s="65">
        <v>0.41666666666666669</v>
      </c>
      <c r="BM24" s="66">
        <v>0.47916666666666669</v>
      </c>
      <c r="BN24" s="107" t="s">
        <v>1030</v>
      </c>
      <c r="BO24" s="54" t="s">
        <v>293</v>
      </c>
      <c r="BP24" s="69" t="s">
        <v>1031</v>
      </c>
      <c r="BQ24" s="69" t="s">
        <v>601</v>
      </c>
      <c r="BR24" s="57" t="s">
        <v>1032</v>
      </c>
      <c r="BS24" s="54"/>
      <c r="BT24" s="56"/>
      <c r="BU24" s="56"/>
      <c r="BV24" s="57"/>
      <c r="BW24" s="60">
        <v>100</v>
      </c>
      <c r="BX24" s="71">
        <v>0</v>
      </c>
      <c r="BY24" s="56" t="s">
        <v>149</v>
      </c>
      <c r="BZ24" s="56"/>
      <c r="CA24" s="56" t="s">
        <v>911</v>
      </c>
      <c r="CB24" s="72"/>
      <c r="CC24" s="72"/>
      <c r="CD24" s="72"/>
      <c r="CE24" s="56" t="s">
        <v>912</v>
      </c>
      <c r="CF24" s="57" t="s">
        <v>913</v>
      </c>
      <c r="CG24" s="60" t="s">
        <v>914</v>
      </c>
      <c r="CH24" s="71" t="s">
        <v>915</v>
      </c>
      <c r="CI24" s="52" t="s">
        <v>146</v>
      </c>
      <c r="CJ24" s="52" t="s">
        <v>142</v>
      </c>
      <c r="CK24" s="52" t="s">
        <v>142</v>
      </c>
      <c r="CL24" s="52" t="s">
        <v>146</v>
      </c>
      <c r="CM24" s="52" t="s">
        <v>142</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c r="DH24" s="73"/>
      <c r="DI24" s="74"/>
      <c r="DJ24" s="75"/>
      <c r="DK24" s="76" t="s">
        <v>146</v>
      </c>
      <c r="DL24" s="76" t="s">
        <v>146</v>
      </c>
      <c r="DM24" s="76" t="s">
        <v>146</v>
      </c>
      <c r="DN24" s="790"/>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95.25" customHeight="1">
      <c r="A25" s="48">
        <v>23</v>
      </c>
      <c r="B25" s="49">
        <v>202609</v>
      </c>
      <c r="C25" s="50" t="s">
        <v>1033</v>
      </c>
      <c r="D25" s="50"/>
      <c r="E25" s="51">
        <v>5680</v>
      </c>
      <c r="F25" s="52" t="s">
        <v>134</v>
      </c>
      <c r="G25" s="53" t="s">
        <v>899</v>
      </c>
      <c r="H25" s="97" t="s">
        <v>996</v>
      </c>
      <c r="I25" s="53" t="s">
        <v>997</v>
      </c>
      <c r="J25" s="54" t="s">
        <v>1034</v>
      </c>
      <c r="K25" s="55" t="s">
        <v>1035</v>
      </c>
      <c r="L25" s="55"/>
      <c r="M25" s="56" t="s">
        <v>1036</v>
      </c>
      <c r="N25" s="57" t="s">
        <v>1037</v>
      </c>
      <c r="O25" s="58" t="s">
        <v>146</v>
      </c>
      <c r="P25" s="96" t="s">
        <v>146</v>
      </c>
      <c r="Q25" s="60" t="s">
        <v>906</v>
      </c>
      <c r="R25" s="61" t="s">
        <v>907</v>
      </c>
      <c r="S25" s="55">
        <v>0</v>
      </c>
      <c r="T25" s="55">
        <v>0</v>
      </c>
      <c r="U25" s="55">
        <v>100</v>
      </c>
      <c r="V25" s="55">
        <v>0</v>
      </c>
      <c r="W25" s="55">
        <v>0</v>
      </c>
      <c r="X25" s="55">
        <v>0</v>
      </c>
      <c r="Y25" s="55">
        <v>0</v>
      </c>
      <c r="Z25" s="55">
        <v>0</v>
      </c>
      <c r="AA25" s="55">
        <v>0</v>
      </c>
      <c r="AB25" s="53">
        <v>100</v>
      </c>
      <c r="AC25" s="52" t="s">
        <v>199</v>
      </c>
      <c r="AD25" s="55" t="s">
        <v>190</v>
      </c>
      <c r="AE25" s="55" t="s">
        <v>146</v>
      </c>
      <c r="AF25" s="55" t="s">
        <v>146</v>
      </c>
      <c r="AG25" s="55" t="s">
        <v>142</v>
      </c>
      <c r="AH25" s="55">
        <v>8</v>
      </c>
      <c r="AI25" s="55">
        <v>16</v>
      </c>
      <c r="AJ25" s="62">
        <v>128</v>
      </c>
      <c r="AK25" s="63">
        <v>46303</v>
      </c>
      <c r="AL25" s="64">
        <f>WEEKDAY(Sheet_1_Table_1_13[[#This Row],[Lesson 1 
Date 
(DD-MMM-YYYY)]])</f>
        <v>5</v>
      </c>
      <c r="AM25" s="65">
        <v>0.47916666666666669</v>
      </c>
      <c r="AN25" s="66">
        <v>0.54166666666666663</v>
      </c>
      <c r="AO25" s="91" t="s">
        <v>1030</v>
      </c>
      <c r="AP25" s="68">
        <v>46310</v>
      </c>
      <c r="AQ25" s="64">
        <f>WEEKDAY(Sheet_1_Table_1_13[[#This Row],[Lesson 1 
Date 
(DD-MMM-YYYY)]])</f>
        <v>5</v>
      </c>
      <c r="AR25" s="65">
        <v>0.47916666666666669</v>
      </c>
      <c r="AS25" s="66">
        <v>0.54166666666666663</v>
      </c>
      <c r="AT25" s="92" t="s">
        <v>1030</v>
      </c>
      <c r="AU25" s="63">
        <v>46317</v>
      </c>
      <c r="AV25" s="64">
        <f>WEEKDAY(Sheet_1_Table_1_13[[#This Row],[Lesson 1 
Date 
(DD-MMM-YYYY)]])</f>
        <v>5</v>
      </c>
      <c r="AW25" s="65">
        <v>0.47916666666666669</v>
      </c>
      <c r="AX25" s="66">
        <v>0.54166666666666663</v>
      </c>
      <c r="AY25" s="92" t="s">
        <v>1030</v>
      </c>
      <c r="AZ25" s="98">
        <v>46324</v>
      </c>
      <c r="BA25" s="64">
        <f>WEEKDAY(Sheet_1_Table_1_13[[#This Row],[Lesson 1 
Date 
(DD-MMM-YYYY)]])</f>
        <v>5</v>
      </c>
      <c r="BB25" s="65">
        <v>0.47916666666666669</v>
      </c>
      <c r="BC25" s="66">
        <v>0.54166666666666663</v>
      </c>
      <c r="BD25" s="92" t="s">
        <v>1030</v>
      </c>
      <c r="BE25" s="63">
        <v>46331</v>
      </c>
      <c r="BF25" s="64">
        <f>WEEKDAY(Sheet_1_Table_1_13[[#This Row],[Lesson 1 
Date 
(DD-MMM-YYYY)]])</f>
        <v>5</v>
      </c>
      <c r="BG25" s="65">
        <v>0.47916666666666669</v>
      </c>
      <c r="BH25" s="66">
        <v>0.54166666666666663</v>
      </c>
      <c r="BI25" s="92" t="s">
        <v>1030</v>
      </c>
      <c r="BJ25" s="98">
        <v>46338</v>
      </c>
      <c r="BK25" s="64">
        <f>WEEKDAY(Sheet_1_Table_1_13[[#This Row],[Lesson 1 
Date 
(DD-MMM-YYYY)]])</f>
        <v>5</v>
      </c>
      <c r="BL25" s="65">
        <v>0.47916666666666669</v>
      </c>
      <c r="BM25" s="66">
        <v>0.54166666666666663</v>
      </c>
      <c r="BN25" s="92" t="s">
        <v>930</v>
      </c>
      <c r="BO25" s="54" t="s">
        <v>293</v>
      </c>
      <c r="BP25" s="69" t="s">
        <v>1031</v>
      </c>
      <c r="BQ25" s="69" t="s">
        <v>601</v>
      </c>
      <c r="BR25" s="57" t="s">
        <v>1032</v>
      </c>
      <c r="BS25" s="54"/>
      <c r="BT25" s="56"/>
      <c r="BU25" s="56"/>
      <c r="BV25" s="57"/>
      <c r="BW25" s="60">
        <v>100</v>
      </c>
      <c r="BX25" s="71">
        <v>0</v>
      </c>
      <c r="BY25" s="56" t="s">
        <v>149</v>
      </c>
      <c r="BZ25" s="56"/>
      <c r="CA25" s="56" t="s">
        <v>911</v>
      </c>
      <c r="CB25" s="72"/>
      <c r="CC25" s="72"/>
      <c r="CD25" s="72"/>
      <c r="CE25" s="56" t="s">
        <v>912</v>
      </c>
      <c r="CF25" s="57" t="s">
        <v>913</v>
      </c>
      <c r="CG25" s="60" t="s">
        <v>914</v>
      </c>
      <c r="CH25" s="71" t="s">
        <v>915</v>
      </c>
      <c r="CI25" s="52" t="s">
        <v>146</v>
      </c>
      <c r="CJ25" s="52" t="s">
        <v>142</v>
      </c>
      <c r="CK25" s="52" t="s">
        <v>142</v>
      </c>
      <c r="CL25" s="52" t="s">
        <v>146</v>
      </c>
      <c r="CM25" s="52" t="s">
        <v>142</v>
      </c>
      <c r="CN25" s="52" t="s">
        <v>142</v>
      </c>
      <c r="CO25" s="52" t="s">
        <v>142</v>
      </c>
      <c r="CP25" s="52" t="s">
        <v>142</v>
      </c>
      <c r="CQ25" s="52" t="s">
        <v>142</v>
      </c>
      <c r="CR25" s="52" t="s">
        <v>142</v>
      </c>
      <c r="CS25" s="52" t="s">
        <v>142</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c r="DH25" s="73"/>
      <c r="DI25" s="74"/>
      <c r="DJ25" s="75"/>
      <c r="DK25" s="76" t="s">
        <v>146</v>
      </c>
      <c r="DL25" s="76" t="s">
        <v>146</v>
      </c>
      <c r="DM25" s="76" t="s">
        <v>146</v>
      </c>
      <c r="DN25" s="790"/>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122.25" customHeight="1">
      <c r="A26" s="48">
        <v>24</v>
      </c>
      <c r="B26" s="49">
        <v>202609</v>
      </c>
      <c r="C26" s="50" t="s">
        <v>995</v>
      </c>
      <c r="D26" s="50"/>
      <c r="E26" s="51">
        <v>5696</v>
      </c>
      <c r="F26" s="52" t="s">
        <v>134</v>
      </c>
      <c r="G26" s="53" t="s">
        <v>899</v>
      </c>
      <c r="H26" s="97" t="s">
        <v>996</v>
      </c>
      <c r="I26" s="53" t="s">
        <v>997</v>
      </c>
      <c r="J26" s="54" t="s">
        <v>998</v>
      </c>
      <c r="K26" s="55" t="s">
        <v>999</v>
      </c>
      <c r="L26" s="55">
        <v>2</v>
      </c>
      <c r="M26" s="56" t="s">
        <v>1000</v>
      </c>
      <c r="N26" s="57" t="s">
        <v>1001</v>
      </c>
      <c r="O26" s="58" t="s">
        <v>146</v>
      </c>
      <c r="P26" s="96" t="s">
        <v>146</v>
      </c>
      <c r="Q26" s="60" t="s">
        <v>906</v>
      </c>
      <c r="R26" s="77" t="s">
        <v>907</v>
      </c>
      <c r="S26" s="55">
        <v>0</v>
      </c>
      <c r="T26" s="55">
        <v>0</v>
      </c>
      <c r="U26" s="55">
        <v>100</v>
      </c>
      <c r="V26" s="55">
        <v>0</v>
      </c>
      <c r="W26" s="55">
        <v>0</v>
      </c>
      <c r="X26" s="55">
        <v>0</v>
      </c>
      <c r="Y26" s="55">
        <v>0</v>
      </c>
      <c r="Z26" s="55">
        <v>0</v>
      </c>
      <c r="AA26" s="55">
        <v>0</v>
      </c>
      <c r="AB26" s="53">
        <v>100</v>
      </c>
      <c r="AC26" s="52" t="s">
        <v>199</v>
      </c>
      <c r="AD26" s="55" t="s">
        <v>190</v>
      </c>
      <c r="AE26" s="55" t="s">
        <v>146</v>
      </c>
      <c r="AF26" s="55" t="s">
        <v>146</v>
      </c>
      <c r="AG26" s="55" t="s">
        <v>142</v>
      </c>
      <c r="AH26" s="55">
        <v>8</v>
      </c>
      <c r="AI26" s="55">
        <v>16</v>
      </c>
      <c r="AJ26" s="62">
        <v>128</v>
      </c>
      <c r="AK26" s="63">
        <v>46303</v>
      </c>
      <c r="AL26" s="64">
        <f>WEEKDAY(Sheet_1_Table_1_13[[#This Row],[Lesson 1 
Date 
(DD-MMM-YYYY)]])</f>
        <v>5</v>
      </c>
      <c r="AM26" s="65">
        <v>0.54166666666666663</v>
      </c>
      <c r="AN26" s="66">
        <v>0.60416666666666663</v>
      </c>
      <c r="AO26" s="108" t="s">
        <v>930</v>
      </c>
      <c r="AP26" s="68">
        <v>46310</v>
      </c>
      <c r="AQ26" s="64">
        <f>WEEKDAY(Sheet_1_Table_1_13[[#This Row],[Lesson 1 
Date 
(DD-MMM-YYYY)]])</f>
        <v>5</v>
      </c>
      <c r="AR26" s="65">
        <v>0.54166666666666663</v>
      </c>
      <c r="AS26" s="66">
        <v>0.60416666666666663</v>
      </c>
      <c r="AT26" s="92" t="s">
        <v>930</v>
      </c>
      <c r="AU26" s="68">
        <v>46317</v>
      </c>
      <c r="AV26" s="64">
        <f>WEEKDAY(Sheet_1_Table_1_13[[#This Row],[Lesson 1 
Date 
(DD-MMM-YYYY)]])</f>
        <v>5</v>
      </c>
      <c r="AW26" s="65">
        <v>0.54166666666666663</v>
      </c>
      <c r="AX26" s="66">
        <v>0.60416666666666663</v>
      </c>
      <c r="AY26" s="92" t="s">
        <v>930</v>
      </c>
      <c r="AZ26" s="98">
        <v>46324</v>
      </c>
      <c r="BA26" s="64">
        <f>WEEKDAY(Sheet_1_Table_1_13[[#This Row],[Lesson 1 
Date 
(DD-MMM-YYYY)]])</f>
        <v>5</v>
      </c>
      <c r="BB26" s="65">
        <v>0.54166666666666663</v>
      </c>
      <c r="BC26" s="66">
        <v>0.60416666666666663</v>
      </c>
      <c r="BD26" s="92" t="s">
        <v>930</v>
      </c>
      <c r="BE26" s="63">
        <v>46331</v>
      </c>
      <c r="BF26" s="64">
        <f>WEEKDAY(Sheet_1_Table_1_13[[#This Row],[Lesson 1 
Date 
(DD-MMM-YYYY)]])</f>
        <v>5</v>
      </c>
      <c r="BG26" s="65">
        <v>0.54166666666666663</v>
      </c>
      <c r="BH26" s="66">
        <v>0.60416666666666663</v>
      </c>
      <c r="BI26" s="92" t="s">
        <v>930</v>
      </c>
      <c r="BJ26" s="98">
        <v>46338</v>
      </c>
      <c r="BK26" s="64">
        <f>WEEKDAY(Sheet_1_Table_1_13[[#This Row],[Lesson 1 
Date 
(DD-MMM-YYYY)]])</f>
        <v>5</v>
      </c>
      <c r="BL26" s="65">
        <v>0.54166666666666663</v>
      </c>
      <c r="BM26" s="66">
        <v>0.60416666666666663</v>
      </c>
      <c r="BN26" s="92" t="s">
        <v>930</v>
      </c>
      <c r="BO26" s="54" t="s">
        <v>163</v>
      </c>
      <c r="BP26" s="69" t="s">
        <v>1038</v>
      </c>
      <c r="BQ26" s="69" t="s">
        <v>1039</v>
      </c>
      <c r="BR26" s="57" t="s">
        <v>1003</v>
      </c>
      <c r="BS26" s="54"/>
      <c r="BT26" s="56"/>
      <c r="BU26" s="56"/>
      <c r="BV26" s="57"/>
      <c r="BW26" s="60">
        <v>100</v>
      </c>
      <c r="BX26" s="71">
        <v>0</v>
      </c>
      <c r="BY26" s="56" t="s">
        <v>149</v>
      </c>
      <c r="BZ26" s="56"/>
      <c r="CA26" s="56" t="s">
        <v>911</v>
      </c>
      <c r="CB26" s="72"/>
      <c r="CC26" s="72"/>
      <c r="CD26" s="72"/>
      <c r="CE26" s="56" t="s">
        <v>912</v>
      </c>
      <c r="CF26" s="57" t="s">
        <v>913</v>
      </c>
      <c r="CG26" s="60" t="s">
        <v>914</v>
      </c>
      <c r="CH26" s="71" t="s">
        <v>915</v>
      </c>
      <c r="CI26" s="52" t="s">
        <v>146</v>
      </c>
      <c r="CJ26" s="52" t="s">
        <v>142</v>
      </c>
      <c r="CK26" s="52" t="s">
        <v>142</v>
      </c>
      <c r="CL26" s="52" t="s">
        <v>146</v>
      </c>
      <c r="CM26" s="52" t="s">
        <v>142</v>
      </c>
      <c r="CN26" s="52" t="s">
        <v>142</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N26" s="790"/>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135" customHeight="1">
      <c r="A27" s="48">
        <v>25</v>
      </c>
      <c r="B27" s="49">
        <v>202609</v>
      </c>
      <c r="C27" s="50" t="s">
        <v>995</v>
      </c>
      <c r="D27" s="50"/>
      <c r="E27" s="51">
        <v>5697</v>
      </c>
      <c r="F27" s="52" t="s">
        <v>134</v>
      </c>
      <c r="G27" s="53" t="s">
        <v>899</v>
      </c>
      <c r="H27" s="97" t="s">
        <v>996</v>
      </c>
      <c r="I27" s="53" t="s">
        <v>997</v>
      </c>
      <c r="J27" s="54" t="s">
        <v>998</v>
      </c>
      <c r="K27" s="55" t="s">
        <v>999</v>
      </c>
      <c r="L27" s="55">
        <v>3</v>
      </c>
      <c r="M27" s="56" t="s">
        <v>1000</v>
      </c>
      <c r="N27" s="57" t="s">
        <v>1001</v>
      </c>
      <c r="O27" s="78" t="s">
        <v>146</v>
      </c>
      <c r="P27" s="96" t="s">
        <v>146</v>
      </c>
      <c r="Q27" s="60" t="s">
        <v>906</v>
      </c>
      <c r="R27" s="61" t="s">
        <v>907</v>
      </c>
      <c r="S27" s="55">
        <v>0</v>
      </c>
      <c r="T27" s="55">
        <v>0</v>
      </c>
      <c r="U27" s="55">
        <v>100</v>
      </c>
      <c r="V27" s="55">
        <v>0</v>
      </c>
      <c r="W27" s="55">
        <v>0</v>
      </c>
      <c r="X27" s="55">
        <v>0</v>
      </c>
      <c r="Y27" s="55">
        <v>0</v>
      </c>
      <c r="Z27" s="55">
        <v>0</v>
      </c>
      <c r="AA27" s="55">
        <v>0</v>
      </c>
      <c r="AB27" s="53">
        <v>100</v>
      </c>
      <c r="AC27" s="52" t="s">
        <v>199</v>
      </c>
      <c r="AD27" s="55" t="s">
        <v>190</v>
      </c>
      <c r="AE27" s="55" t="s">
        <v>146</v>
      </c>
      <c r="AF27" s="55" t="s">
        <v>146</v>
      </c>
      <c r="AG27" s="55" t="s">
        <v>142</v>
      </c>
      <c r="AH27" s="55">
        <v>8</v>
      </c>
      <c r="AI27" s="55">
        <v>16</v>
      </c>
      <c r="AJ27" s="62">
        <v>128</v>
      </c>
      <c r="AK27" s="63">
        <v>46303</v>
      </c>
      <c r="AL27" s="64">
        <f>WEEKDAY(Sheet_1_Table_1_13[[#This Row],[Lesson 1 
Date 
(DD-MMM-YYYY)]])</f>
        <v>5</v>
      </c>
      <c r="AM27" s="65">
        <v>0.60416666666666663</v>
      </c>
      <c r="AN27" s="66">
        <v>0.66666666666666663</v>
      </c>
      <c r="AO27" s="109" t="s">
        <v>930</v>
      </c>
      <c r="AP27" s="68">
        <v>46310</v>
      </c>
      <c r="AQ27" s="64">
        <f>WEEKDAY(Sheet_1_Table_1_13[[#This Row],[Lesson 1 
Date 
(DD-MMM-YYYY)]])</f>
        <v>5</v>
      </c>
      <c r="AR27" s="65">
        <v>0.60416666666666663</v>
      </c>
      <c r="AS27" s="66">
        <v>0.66666666666666663</v>
      </c>
      <c r="AT27" s="92" t="s">
        <v>930</v>
      </c>
      <c r="AU27" s="63">
        <v>46317</v>
      </c>
      <c r="AV27" s="64">
        <f>WEEKDAY(Sheet_1_Table_1_13[[#This Row],[Lesson 1 
Date 
(DD-MMM-YYYY)]])</f>
        <v>5</v>
      </c>
      <c r="AW27" s="65">
        <v>0.60416666666666663</v>
      </c>
      <c r="AX27" s="66">
        <v>0.66666666666666663</v>
      </c>
      <c r="AY27" s="92" t="s">
        <v>930</v>
      </c>
      <c r="AZ27" s="98">
        <v>46324</v>
      </c>
      <c r="BA27" s="64">
        <f>WEEKDAY(Sheet_1_Table_1_13[[#This Row],[Lesson 1 
Date 
(DD-MMM-YYYY)]])</f>
        <v>5</v>
      </c>
      <c r="BB27" s="65">
        <v>0.60416666666666663</v>
      </c>
      <c r="BC27" s="66">
        <v>0.66666666666666663</v>
      </c>
      <c r="BD27" s="92" t="s">
        <v>930</v>
      </c>
      <c r="BE27" s="63">
        <v>46331</v>
      </c>
      <c r="BF27" s="64">
        <f>WEEKDAY(Sheet_1_Table_1_13[[#This Row],[Lesson 1 
Date 
(DD-MMM-YYYY)]])</f>
        <v>5</v>
      </c>
      <c r="BG27" s="65">
        <v>0.60416666666666663</v>
      </c>
      <c r="BH27" s="66">
        <v>0.66666666666666663</v>
      </c>
      <c r="BI27" s="92" t="s">
        <v>930</v>
      </c>
      <c r="BJ27" s="98">
        <v>46338</v>
      </c>
      <c r="BK27" s="64">
        <f>WEEKDAY(Sheet_1_Table_1_13[[#This Row],[Lesson 1 
Date 
(DD-MMM-YYYY)]])</f>
        <v>5</v>
      </c>
      <c r="BL27" s="65">
        <v>0.60416666666666663</v>
      </c>
      <c r="BM27" s="66">
        <v>0.66666666666666663</v>
      </c>
      <c r="BN27" s="92" t="s">
        <v>930</v>
      </c>
      <c r="BO27" s="54" t="s">
        <v>163</v>
      </c>
      <c r="BP27" s="69" t="s">
        <v>1038</v>
      </c>
      <c r="BQ27" s="69" t="s">
        <v>1039</v>
      </c>
      <c r="BR27" s="57" t="s">
        <v>1003</v>
      </c>
      <c r="BS27" s="54"/>
      <c r="BT27" s="56"/>
      <c r="BU27" s="56"/>
      <c r="BV27" s="57"/>
      <c r="BW27" s="60">
        <v>100</v>
      </c>
      <c r="BX27" s="71">
        <v>0</v>
      </c>
      <c r="BY27" s="56" t="s">
        <v>149</v>
      </c>
      <c r="BZ27" s="56"/>
      <c r="CA27" s="56" t="s">
        <v>911</v>
      </c>
      <c r="CB27" s="72"/>
      <c r="CC27" s="72"/>
      <c r="CD27" s="72"/>
      <c r="CE27" s="56" t="s">
        <v>912</v>
      </c>
      <c r="CF27" s="57" t="s">
        <v>913</v>
      </c>
      <c r="CG27" s="60" t="s">
        <v>914</v>
      </c>
      <c r="CH27" s="71" t="s">
        <v>915</v>
      </c>
      <c r="CI27" s="52" t="s">
        <v>146</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N27" s="790"/>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135.75" customHeight="1">
      <c r="A28" s="48">
        <v>26</v>
      </c>
      <c r="B28" s="49">
        <v>202609</v>
      </c>
      <c r="C28" s="50" t="s">
        <v>1040</v>
      </c>
      <c r="D28" s="50"/>
      <c r="E28" s="51">
        <v>5701</v>
      </c>
      <c r="F28" s="52" t="s">
        <v>134</v>
      </c>
      <c r="G28" s="53" t="s">
        <v>899</v>
      </c>
      <c r="H28" s="97" t="s">
        <v>924</v>
      </c>
      <c r="I28" s="53" t="s">
        <v>925</v>
      </c>
      <c r="J28" s="54" t="s">
        <v>1041</v>
      </c>
      <c r="K28" s="55" t="s">
        <v>1042</v>
      </c>
      <c r="L28" s="55"/>
      <c r="M28" s="56" t="s">
        <v>1043</v>
      </c>
      <c r="N28" s="57" t="s">
        <v>1044</v>
      </c>
      <c r="O28" s="78" t="s">
        <v>146</v>
      </c>
      <c r="P28" s="96" t="s">
        <v>146</v>
      </c>
      <c r="Q28" s="60" t="s">
        <v>906</v>
      </c>
      <c r="R28" s="77" t="s">
        <v>907</v>
      </c>
      <c r="S28" s="55">
        <v>0</v>
      </c>
      <c r="T28" s="55">
        <v>0</v>
      </c>
      <c r="U28" s="55">
        <v>100</v>
      </c>
      <c r="V28" s="55">
        <v>0</v>
      </c>
      <c r="W28" s="55">
        <v>0</v>
      </c>
      <c r="X28" s="55">
        <v>0</v>
      </c>
      <c r="Y28" s="55">
        <v>0</v>
      </c>
      <c r="Z28" s="55">
        <v>0</v>
      </c>
      <c r="AA28" s="55">
        <v>0</v>
      </c>
      <c r="AB28" s="53">
        <v>100</v>
      </c>
      <c r="AC28" s="52" t="s">
        <v>199</v>
      </c>
      <c r="AD28" s="55" t="s">
        <v>190</v>
      </c>
      <c r="AE28" s="55" t="s">
        <v>146</v>
      </c>
      <c r="AF28" s="55" t="s">
        <v>146</v>
      </c>
      <c r="AG28" s="55" t="s">
        <v>142</v>
      </c>
      <c r="AH28" s="55">
        <v>8</v>
      </c>
      <c r="AI28" s="55">
        <v>16</v>
      </c>
      <c r="AJ28" s="62">
        <v>128</v>
      </c>
      <c r="AK28" s="63">
        <v>46303</v>
      </c>
      <c r="AL28" s="64">
        <f>WEEKDAY(Sheet_1_Table_1_13[[#This Row],[Lesson 1 
Date 
(DD-MMM-YYYY)]])</f>
        <v>5</v>
      </c>
      <c r="AM28" s="65">
        <v>0.79166666666666663</v>
      </c>
      <c r="AN28" s="66">
        <v>0.875</v>
      </c>
      <c r="AO28" s="103" t="s">
        <v>930</v>
      </c>
      <c r="AP28" s="68">
        <v>46310</v>
      </c>
      <c r="AQ28" s="64">
        <f>WEEKDAY(Sheet_1_Table_1_13[[#This Row],[Lesson 1 
Date 
(DD-MMM-YYYY)]])</f>
        <v>5</v>
      </c>
      <c r="AR28" s="65">
        <v>0.79166666666666663</v>
      </c>
      <c r="AS28" s="66">
        <v>0.875</v>
      </c>
      <c r="AT28" s="103" t="s">
        <v>930</v>
      </c>
      <c r="AU28" s="63">
        <v>46317</v>
      </c>
      <c r="AV28" s="64">
        <f>WEEKDAY(Sheet_1_Table_1_13[[#This Row],[Lesson 1 
Date 
(DD-MMM-YYYY)]])</f>
        <v>5</v>
      </c>
      <c r="AW28" s="65">
        <v>0.79166666666666663</v>
      </c>
      <c r="AX28" s="66">
        <v>0.875</v>
      </c>
      <c r="AY28" s="103" t="s">
        <v>930</v>
      </c>
      <c r="AZ28" s="98">
        <v>46324</v>
      </c>
      <c r="BA28" s="64">
        <f>WEEKDAY(Sheet_1_Table_1_13[[#This Row],[Lesson 1 
Date 
(DD-MMM-YYYY)]])</f>
        <v>5</v>
      </c>
      <c r="BB28" s="65">
        <v>0.79166666666666663</v>
      </c>
      <c r="BC28" s="66">
        <v>0.875</v>
      </c>
      <c r="BD28" s="103" t="s">
        <v>930</v>
      </c>
      <c r="BE28" s="63">
        <v>46331</v>
      </c>
      <c r="BF28" s="64">
        <f>WEEKDAY(Sheet_1_Table_1_13[[#This Row],[Lesson 1 
Date 
(DD-MMM-YYYY)]])</f>
        <v>5</v>
      </c>
      <c r="BG28" s="65">
        <v>0.79166666666666663</v>
      </c>
      <c r="BH28" s="66">
        <v>0.875</v>
      </c>
      <c r="BI28" s="103" t="s">
        <v>930</v>
      </c>
      <c r="BJ28" s="98">
        <v>46338</v>
      </c>
      <c r="BK28" s="64">
        <f>WEEKDAY(Sheet_1_Table_1_13[[#This Row],[Lesson 1 
Date 
(DD-MMM-YYYY)]])</f>
        <v>5</v>
      </c>
      <c r="BL28" s="65">
        <v>0.79166666666666663</v>
      </c>
      <c r="BM28" s="66">
        <v>0.875</v>
      </c>
      <c r="BN28" s="103" t="s">
        <v>930</v>
      </c>
      <c r="BO28" s="54" t="s">
        <v>293</v>
      </c>
      <c r="BP28" s="69" t="s">
        <v>1045</v>
      </c>
      <c r="BQ28" s="69" t="s">
        <v>422</v>
      </c>
      <c r="BR28" s="57" t="s">
        <v>1046</v>
      </c>
      <c r="BS28" s="54"/>
      <c r="BT28" s="56"/>
      <c r="BU28" s="56"/>
      <c r="BV28" s="57"/>
      <c r="BW28" s="60">
        <v>100</v>
      </c>
      <c r="BX28" s="71">
        <v>0</v>
      </c>
      <c r="BY28" s="56" t="s">
        <v>149</v>
      </c>
      <c r="BZ28" s="56"/>
      <c r="CA28" s="56" t="s">
        <v>911</v>
      </c>
      <c r="CB28" s="72"/>
      <c r="CC28" s="72"/>
      <c r="CD28" s="72"/>
      <c r="CE28" s="56" t="s">
        <v>912</v>
      </c>
      <c r="CF28" s="57" t="s">
        <v>913</v>
      </c>
      <c r="CG28" s="60" t="s">
        <v>914</v>
      </c>
      <c r="CH28" s="71" t="s">
        <v>915</v>
      </c>
      <c r="CI28" s="52" t="s">
        <v>146</v>
      </c>
      <c r="CJ28" s="52" t="s">
        <v>142</v>
      </c>
      <c r="CK28" s="52" t="s">
        <v>142</v>
      </c>
      <c r="CL28" s="52" t="s">
        <v>146</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N28" s="790"/>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108" customHeight="1">
      <c r="A29" s="48">
        <v>27</v>
      </c>
      <c r="B29" s="49">
        <v>202609</v>
      </c>
      <c r="C29" s="50" t="s">
        <v>1047</v>
      </c>
      <c r="D29" s="50"/>
      <c r="E29" s="51">
        <v>5708</v>
      </c>
      <c r="F29" s="52" t="s">
        <v>134</v>
      </c>
      <c r="G29" s="53" t="s">
        <v>899</v>
      </c>
      <c r="H29" s="97" t="s">
        <v>304</v>
      </c>
      <c r="I29" s="53" t="s">
        <v>305</v>
      </c>
      <c r="J29" s="54" t="s">
        <v>1048</v>
      </c>
      <c r="K29" s="55" t="s">
        <v>1049</v>
      </c>
      <c r="L29" s="55"/>
      <c r="M29" s="56" t="s">
        <v>1050</v>
      </c>
      <c r="N29" s="57" t="s">
        <v>1051</v>
      </c>
      <c r="O29" s="78" t="s">
        <v>146</v>
      </c>
      <c r="P29" s="96" t="s">
        <v>146</v>
      </c>
      <c r="Q29" s="60" t="s">
        <v>906</v>
      </c>
      <c r="R29" s="61" t="s">
        <v>907</v>
      </c>
      <c r="S29" s="55">
        <v>0</v>
      </c>
      <c r="T29" s="55">
        <v>0</v>
      </c>
      <c r="U29" s="55">
        <v>100</v>
      </c>
      <c r="V29" s="55">
        <v>0</v>
      </c>
      <c r="W29" s="55">
        <v>0</v>
      </c>
      <c r="X29" s="55">
        <v>0</v>
      </c>
      <c r="Y29" s="55">
        <v>0</v>
      </c>
      <c r="Z29" s="55">
        <v>0</v>
      </c>
      <c r="AA29" s="55">
        <v>0</v>
      </c>
      <c r="AB29" s="53">
        <v>100</v>
      </c>
      <c r="AC29" s="52" t="s">
        <v>199</v>
      </c>
      <c r="AD29" s="55" t="s">
        <v>190</v>
      </c>
      <c r="AE29" s="55" t="s">
        <v>146</v>
      </c>
      <c r="AF29" s="55" t="s">
        <v>146</v>
      </c>
      <c r="AG29" s="55" t="s">
        <v>142</v>
      </c>
      <c r="AH29" s="55">
        <v>8</v>
      </c>
      <c r="AI29" s="55">
        <v>12</v>
      </c>
      <c r="AJ29" s="62">
        <v>96</v>
      </c>
      <c r="AK29" s="63">
        <v>46303</v>
      </c>
      <c r="AL29" s="64">
        <f>WEEKDAY(Sheet_1_Table_1_13[[#This Row],[Lesson 1 
Date 
(DD-MMM-YYYY)]])</f>
        <v>5</v>
      </c>
      <c r="AM29" s="65">
        <v>0.41666666666666669</v>
      </c>
      <c r="AN29" s="66">
        <v>0.47916666666666669</v>
      </c>
      <c r="AO29" s="103" t="s">
        <v>952</v>
      </c>
      <c r="AP29" s="68">
        <v>46310</v>
      </c>
      <c r="AQ29" s="64">
        <f>WEEKDAY(Sheet_1_Table_1_13[[#This Row],[Lesson 1 
Date 
(DD-MMM-YYYY)]])</f>
        <v>5</v>
      </c>
      <c r="AR29" s="65">
        <v>0.41666666666666669</v>
      </c>
      <c r="AS29" s="66">
        <v>0.47916666666666669</v>
      </c>
      <c r="AT29" s="103" t="s">
        <v>952</v>
      </c>
      <c r="AU29" s="63">
        <v>46317</v>
      </c>
      <c r="AV29" s="64">
        <f>WEEKDAY(Sheet_1_Table_1_13[[#This Row],[Lesson 1 
Date 
(DD-MMM-YYYY)]])</f>
        <v>5</v>
      </c>
      <c r="AW29" s="65">
        <v>0.41666666666666669</v>
      </c>
      <c r="AX29" s="66">
        <v>0.47916666666666669</v>
      </c>
      <c r="AY29" s="103" t="s">
        <v>952</v>
      </c>
      <c r="AZ29" s="98">
        <v>46324</v>
      </c>
      <c r="BA29" s="64">
        <f>WEEKDAY(Sheet_1_Table_1_13[[#This Row],[Lesson 1 
Date 
(DD-MMM-YYYY)]])</f>
        <v>5</v>
      </c>
      <c r="BB29" s="65">
        <v>0.41666666666666669</v>
      </c>
      <c r="BC29" s="66">
        <v>0.47916666666666669</v>
      </c>
      <c r="BD29" s="103" t="s">
        <v>952</v>
      </c>
      <c r="BE29" s="63">
        <v>46331</v>
      </c>
      <c r="BF29" s="64">
        <f>WEEKDAY(Sheet_1_Table_1_13[[#This Row],[Lesson 1 
Date 
(DD-MMM-YYYY)]])</f>
        <v>5</v>
      </c>
      <c r="BG29" s="65">
        <v>0.41666666666666669</v>
      </c>
      <c r="BH29" s="66">
        <v>0.47916666666666669</v>
      </c>
      <c r="BI29" s="103" t="s">
        <v>952</v>
      </c>
      <c r="BJ29" s="98">
        <v>46338</v>
      </c>
      <c r="BK29" s="64">
        <f>WEEKDAY(Sheet_1_Table_1_13[[#This Row],[Lesson 1 
Date 
(DD-MMM-YYYY)]])</f>
        <v>5</v>
      </c>
      <c r="BL29" s="65">
        <v>0.41666666666666669</v>
      </c>
      <c r="BM29" s="66">
        <v>0.47916666666666669</v>
      </c>
      <c r="BN29" s="103" t="s">
        <v>952</v>
      </c>
      <c r="BO29" s="54" t="s">
        <v>293</v>
      </c>
      <c r="BP29" s="69" t="s">
        <v>1052</v>
      </c>
      <c r="BQ29" s="69" t="s">
        <v>422</v>
      </c>
      <c r="BR29" s="57" t="s">
        <v>1053</v>
      </c>
      <c r="BS29" s="54"/>
      <c r="BT29" s="56"/>
      <c r="BU29" s="56"/>
      <c r="BV29" s="57"/>
      <c r="BW29" s="60">
        <v>100</v>
      </c>
      <c r="BX29" s="71">
        <v>0</v>
      </c>
      <c r="BY29" s="56" t="s">
        <v>149</v>
      </c>
      <c r="BZ29" s="56"/>
      <c r="CA29" s="56" t="s">
        <v>911</v>
      </c>
      <c r="CB29" s="72"/>
      <c r="CC29" s="72"/>
      <c r="CD29" s="72"/>
      <c r="CE29" s="56" t="s">
        <v>912</v>
      </c>
      <c r="CF29" s="57" t="s">
        <v>913</v>
      </c>
      <c r="CG29" s="60" t="s">
        <v>914</v>
      </c>
      <c r="CH29" s="71" t="s">
        <v>915</v>
      </c>
      <c r="CI29" s="52" t="s">
        <v>146</v>
      </c>
      <c r="CJ29" s="52" t="s">
        <v>142</v>
      </c>
      <c r="CK29" s="52" t="s">
        <v>142</v>
      </c>
      <c r="CL29" s="52" t="s">
        <v>146</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N29" s="790"/>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141" customHeight="1">
      <c r="A30" s="48">
        <v>28</v>
      </c>
      <c r="B30" s="49">
        <v>202609</v>
      </c>
      <c r="C30" s="50" t="s">
        <v>1054</v>
      </c>
      <c r="D30" s="50"/>
      <c r="E30" s="51">
        <v>5707</v>
      </c>
      <c r="F30" s="52" t="s">
        <v>134</v>
      </c>
      <c r="G30" s="53" t="s">
        <v>899</v>
      </c>
      <c r="H30" s="97" t="s">
        <v>304</v>
      </c>
      <c r="I30" s="53" t="s">
        <v>305</v>
      </c>
      <c r="J30" s="54" t="s">
        <v>1055</v>
      </c>
      <c r="K30" s="55" t="s">
        <v>1056</v>
      </c>
      <c r="L30" s="55"/>
      <c r="M30" s="56" t="s">
        <v>1057</v>
      </c>
      <c r="N30" s="57" t="s">
        <v>1058</v>
      </c>
      <c r="O30" s="58" t="s">
        <v>146</v>
      </c>
      <c r="P30" s="96" t="s">
        <v>146</v>
      </c>
      <c r="Q30" s="60" t="s">
        <v>906</v>
      </c>
      <c r="R30" s="61" t="s">
        <v>907</v>
      </c>
      <c r="S30" s="55">
        <v>0</v>
      </c>
      <c r="T30" s="55">
        <v>0</v>
      </c>
      <c r="U30" s="55">
        <v>100</v>
      </c>
      <c r="V30" s="55">
        <v>0</v>
      </c>
      <c r="W30" s="55">
        <v>0</v>
      </c>
      <c r="X30" s="55">
        <v>0</v>
      </c>
      <c r="Y30" s="55">
        <v>0</v>
      </c>
      <c r="Z30" s="55">
        <v>0</v>
      </c>
      <c r="AA30" s="55">
        <v>0</v>
      </c>
      <c r="AB30" s="53">
        <v>100</v>
      </c>
      <c r="AC30" s="52" t="s">
        <v>199</v>
      </c>
      <c r="AD30" s="55" t="s">
        <v>190</v>
      </c>
      <c r="AE30" s="55" t="s">
        <v>146</v>
      </c>
      <c r="AF30" s="55" t="s">
        <v>146</v>
      </c>
      <c r="AG30" s="55" t="s">
        <v>142</v>
      </c>
      <c r="AH30" s="55">
        <v>8</v>
      </c>
      <c r="AI30" s="55">
        <v>12</v>
      </c>
      <c r="AJ30" s="62">
        <v>96</v>
      </c>
      <c r="AK30" s="63">
        <v>46303</v>
      </c>
      <c r="AL30" s="64">
        <f>WEEKDAY(Sheet_1_Table_1_13[[#This Row],[Lesson 1 
Date 
(DD-MMM-YYYY)]])</f>
        <v>5</v>
      </c>
      <c r="AM30" s="65">
        <v>0.47916666666666669</v>
      </c>
      <c r="AN30" s="66">
        <v>0.54166666666666663</v>
      </c>
      <c r="AO30" s="103" t="s">
        <v>952</v>
      </c>
      <c r="AP30" s="68">
        <v>46310</v>
      </c>
      <c r="AQ30" s="64">
        <f>WEEKDAY(Sheet_1_Table_1_13[[#This Row],[Lesson 1 
Date 
(DD-MMM-YYYY)]])</f>
        <v>5</v>
      </c>
      <c r="AR30" s="65">
        <v>0.47916666666666669</v>
      </c>
      <c r="AS30" s="66">
        <v>0.54166666666666663</v>
      </c>
      <c r="AT30" s="103" t="s">
        <v>952</v>
      </c>
      <c r="AU30" s="63">
        <v>46317</v>
      </c>
      <c r="AV30" s="64">
        <f>WEEKDAY(Sheet_1_Table_1_13[[#This Row],[Lesson 1 
Date 
(DD-MMM-YYYY)]])</f>
        <v>5</v>
      </c>
      <c r="AW30" s="65">
        <v>0.47916666666666669</v>
      </c>
      <c r="AX30" s="66">
        <v>0.54166666666666663</v>
      </c>
      <c r="AY30" s="103" t="s">
        <v>952</v>
      </c>
      <c r="AZ30" s="98">
        <v>46324</v>
      </c>
      <c r="BA30" s="64">
        <f>WEEKDAY(Sheet_1_Table_1_13[[#This Row],[Lesson 1 
Date 
(DD-MMM-YYYY)]])</f>
        <v>5</v>
      </c>
      <c r="BB30" s="65">
        <v>0.47916666666666669</v>
      </c>
      <c r="BC30" s="66">
        <v>0.54166666666666663</v>
      </c>
      <c r="BD30" s="103" t="s">
        <v>952</v>
      </c>
      <c r="BE30" s="63">
        <v>46331</v>
      </c>
      <c r="BF30" s="64">
        <f>WEEKDAY(Sheet_1_Table_1_13[[#This Row],[Lesson 1 
Date 
(DD-MMM-YYYY)]])</f>
        <v>5</v>
      </c>
      <c r="BG30" s="65">
        <v>0.47916666666666669</v>
      </c>
      <c r="BH30" s="66">
        <v>0.54166666666666663</v>
      </c>
      <c r="BI30" s="103" t="s">
        <v>952</v>
      </c>
      <c r="BJ30" s="98">
        <v>46338</v>
      </c>
      <c r="BK30" s="64">
        <f>WEEKDAY(Sheet_1_Table_1_13[[#This Row],[Lesson 1 
Date 
(DD-MMM-YYYY)]])</f>
        <v>5</v>
      </c>
      <c r="BL30" s="65">
        <v>0.47916666666666669</v>
      </c>
      <c r="BM30" s="66">
        <v>0.54166666666666663</v>
      </c>
      <c r="BN30" s="103" t="s">
        <v>952</v>
      </c>
      <c r="BO30" s="54" t="s">
        <v>293</v>
      </c>
      <c r="BP30" s="69" t="s">
        <v>1052</v>
      </c>
      <c r="BQ30" s="69" t="s">
        <v>422</v>
      </c>
      <c r="BR30" s="57" t="s">
        <v>1053</v>
      </c>
      <c r="BS30" s="54"/>
      <c r="BT30" s="56"/>
      <c r="BU30" s="56"/>
      <c r="BV30" s="57"/>
      <c r="BW30" s="60">
        <v>100</v>
      </c>
      <c r="BX30" s="71">
        <v>0</v>
      </c>
      <c r="BY30" s="56" t="s">
        <v>149</v>
      </c>
      <c r="BZ30" s="56"/>
      <c r="CA30" s="56" t="s">
        <v>911</v>
      </c>
      <c r="CB30" s="72"/>
      <c r="CC30" s="72"/>
      <c r="CD30" s="72"/>
      <c r="CE30" s="56" t="s">
        <v>912</v>
      </c>
      <c r="CF30" s="57" t="s">
        <v>913</v>
      </c>
      <c r="CG30" s="60" t="s">
        <v>914</v>
      </c>
      <c r="CH30" s="71" t="s">
        <v>915</v>
      </c>
      <c r="CI30" s="52" t="s">
        <v>146</v>
      </c>
      <c r="CJ30" s="52" t="s">
        <v>142</v>
      </c>
      <c r="CK30" s="52" t="s">
        <v>142</v>
      </c>
      <c r="CL30" s="52" t="s">
        <v>146</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N30" s="790"/>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29</v>
      </c>
      <c r="B31" s="49">
        <v>202609</v>
      </c>
      <c r="C31" s="50" t="s">
        <v>1059</v>
      </c>
      <c r="D31" s="50"/>
      <c r="E31" s="51">
        <v>5688</v>
      </c>
      <c r="F31" s="52" t="s">
        <v>134</v>
      </c>
      <c r="G31" s="53" t="s">
        <v>899</v>
      </c>
      <c r="H31" s="97" t="s">
        <v>900</v>
      </c>
      <c r="I31" s="53" t="s">
        <v>901</v>
      </c>
      <c r="J31" s="54" t="s">
        <v>1060</v>
      </c>
      <c r="K31" s="55" t="s">
        <v>1061</v>
      </c>
      <c r="L31" s="55"/>
      <c r="M31" s="56" t="s">
        <v>1062</v>
      </c>
      <c r="N31" s="57" t="s">
        <v>1063</v>
      </c>
      <c r="O31" s="58" t="s">
        <v>146</v>
      </c>
      <c r="P31" s="96" t="s">
        <v>146</v>
      </c>
      <c r="Q31" s="60" t="s">
        <v>906</v>
      </c>
      <c r="R31" s="77" t="str">
        <f>VLOOKUP(Sheet_1_Table_1_13[[#This Row],[Learning Domain]],[9]List!$A$7:$B$12,2,0)</f>
        <v>PFW</v>
      </c>
      <c r="S31" s="55">
        <v>0</v>
      </c>
      <c r="T31" s="55">
        <v>0</v>
      </c>
      <c r="U31" s="55">
        <v>100</v>
      </c>
      <c r="V31" s="55">
        <v>0</v>
      </c>
      <c r="W31" s="55">
        <v>0</v>
      </c>
      <c r="X31" s="55">
        <v>0</v>
      </c>
      <c r="Y31" s="55">
        <v>0</v>
      </c>
      <c r="Z31" s="55">
        <v>0</v>
      </c>
      <c r="AA31" s="55">
        <v>0</v>
      </c>
      <c r="AB31" s="53">
        <v>100</v>
      </c>
      <c r="AC31" s="52" t="s">
        <v>199</v>
      </c>
      <c r="AD31" s="55" t="s">
        <v>190</v>
      </c>
      <c r="AE31" s="55" t="s">
        <v>146</v>
      </c>
      <c r="AF31" s="55" t="s">
        <v>146</v>
      </c>
      <c r="AG31" s="55" t="s">
        <v>142</v>
      </c>
      <c r="AH31" s="55">
        <v>6</v>
      </c>
      <c r="AI31" s="55">
        <v>16</v>
      </c>
      <c r="AJ31" s="62">
        <f>Sheet_1_Table_1_13[[#This Row],[ILP Units Per Session]]*Sheet_1_Table_1_13[[#This Row],[Quota]]</f>
        <v>96</v>
      </c>
      <c r="AK31" s="63">
        <v>46304</v>
      </c>
      <c r="AL31" s="64">
        <f>WEEKDAY(Sheet_1_Table_1_13[[#This Row],[Lesson 1 
Date 
(DD-MMM-YYYY)]])</f>
        <v>6</v>
      </c>
      <c r="AM31" s="65">
        <v>0.85416666666666663</v>
      </c>
      <c r="AN31" s="66">
        <v>0.89583333333333337</v>
      </c>
      <c r="AO31" s="110" t="s">
        <v>975</v>
      </c>
      <c r="AP31" s="68">
        <v>46311</v>
      </c>
      <c r="AQ31" s="64">
        <f>WEEKDAY(Sheet_1_Table_1_13[[#This Row],[Lesson 1 
Date 
(DD-MMM-YYYY)]])</f>
        <v>6</v>
      </c>
      <c r="AR31" s="65">
        <v>0.85416666666666663</v>
      </c>
      <c r="AS31" s="66">
        <v>0.89583333333333337</v>
      </c>
      <c r="AT31" s="111" t="s">
        <v>975</v>
      </c>
      <c r="AU31" s="63">
        <v>46318</v>
      </c>
      <c r="AV31" s="64">
        <f>WEEKDAY(Sheet_1_Table_1_13[[#This Row],[Lesson 1 
Date 
(DD-MMM-YYYY)]])</f>
        <v>6</v>
      </c>
      <c r="AW31" s="65">
        <v>0.85416666666666663</v>
      </c>
      <c r="AX31" s="66">
        <v>0.89583333333333337</v>
      </c>
      <c r="AY31" s="111" t="s">
        <v>975</v>
      </c>
      <c r="AZ31" s="98">
        <v>46325</v>
      </c>
      <c r="BA31" s="64">
        <f>WEEKDAY(Sheet_1_Table_1_13[[#This Row],[Lesson 1 
Date 
(DD-MMM-YYYY)]])</f>
        <v>6</v>
      </c>
      <c r="BB31" s="65">
        <v>0.85416666666666663</v>
      </c>
      <c r="BC31" s="66">
        <v>0.89583333333333337</v>
      </c>
      <c r="BD31" s="111" t="s">
        <v>975</v>
      </c>
      <c r="BE31" s="63">
        <v>46332</v>
      </c>
      <c r="BF31" s="64">
        <f>WEEKDAY(Sheet_1_Table_1_13[[#This Row],[Lesson 1 
Date 
(DD-MMM-YYYY)]])</f>
        <v>6</v>
      </c>
      <c r="BG31" s="65">
        <v>0.85416666666666663</v>
      </c>
      <c r="BH31" s="66">
        <v>0.89583333333333337</v>
      </c>
      <c r="BI31" s="111" t="s">
        <v>975</v>
      </c>
      <c r="BJ31" s="98">
        <v>46339</v>
      </c>
      <c r="BK31" s="64">
        <f>WEEKDAY(Sheet_1_Table_1_13[[#This Row],[Lesson 1 
Date 
(DD-MMM-YYYY)]])</f>
        <v>6</v>
      </c>
      <c r="BL31" s="65">
        <v>0.85416666666666663</v>
      </c>
      <c r="BM31" s="66">
        <v>0.89583333333333337</v>
      </c>
      <c r="BN31" s="111" t="s">
        <v>975</v>
      </c>
      <c r="BO31" s="54" t="s">
        <v>293</v>
      </c>
      <c r="BP31" s="69" t="s">
        <v>1064</v>
      </c>
      <c r="BQ31" s="69" t="s">
        <v>1065</v>
      </c>
      <c r="BR31" s="57" t="s">
        <v>1066</v>
      </c>
      <c r="BS31" s="54"/>
      <c r="BT31" s="56"/>
      <c r="BU31" s="56"/>
      <c r="BV31" s="57"/>
      <c r="BW31" s="60">
        <v>0</v>
      </c>
      <c r="BX31" s="71">
        <v>100</v>
      </c>
      <c r="BY31" s="56"/>
      <c r="BZ31" s="56"/>
      <c r="CA31" s="56" t="s">
        <v>911</v>
      </c>
      <c r="CB31" s="72"/>
      <c r="CC31" s="72"/>
      <c r="CD31" s="72"/>
      <c r="CE31" s="56" t="s">
        <v>912</v>
      </c>
      <c r="CF31" s="57" t="s">
        <v>913</v>
      </c>
      <c r="CG31" s="60" t="s">
        <v>914</v>
      </c>
      <c r="CH31" s="71" t="s">
        <v>915</v>
      </c>
      <c r="CI31" s="52" t="s">
        <v>146</v>
      </c>
      <c r="CJ31" s="52" t="s">
        <v>142</v>
      </c>
      <c r="CK31" s="52" t="s">
        <v>142</v>
      </c>
      <c r="CL31" s="52" t="s">
        <v>146</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N31" s="790"/>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30</v>
      </c>
      <c r="B32" s="49">
        <v>202609</v>
      </c>
      <c r="C32" s="50" t="s">
        <v>1067</v>
      </c>
      <c r="D32" s="50"/>
      <c r="E32" s="51">
        <v>5698</v>
      </c>
      <c r="F32" s="52" t="s">
        <v>134</v>
      </c>
      <c r="G32" s="53" t="s">
        <v>899</v>
      </c>
      <c r="H32" s="97" t="s">
        <v>996</v>
      </c>
      <c r="I32" s="53" t="s">
        <v>997</v>
      </c>
      <c r="J32" s="54" t="s">
        <v>1068</v>
      </c>
      <c r="K32" s="55" t="s">
        <v>1069</v>
      </c>
      <c r="L32" s="55"/>
      <c r="M32" s="56" t="s">
        <v>1070</v>
      </c>
      <c r="N32" s="57" t="s">
        <v>1071</v>
      </c>
      <c r="O32" s="78" t="s">
        <v>146</v>
      </c>
      <c r="P32" s="96" t="s">
        <v>146</v>
      </c>
      <c r="Q32" s="60" t="s">
        <v>906</v>
      </c>
      <c r="R32" s="61" t="str">
        <f>VLOOKUP(Sheet_1_Table_1_13[[#This Row],[Learning Domain]],[9]List!$A$7:$B$12,2,0)</f>
        <v>PFW</v>
      </c>
      <c r="S32" s="55">
        <v>0</v>
      </c>
      <c r="T32" s="55">
        <v>0</v>
      </c>
      <c r="U32" s="55">
        <v>100</v>
      </c>
      <c r="V32" s="55">
        <v>0</v>
      </c>
      <c r="W32" s="55">
        <v>0</v>
      </c>
      <c r="X32" s="55">
        <v>0</v>
      </c>
      <c r="Y32" s="55">
        <v>0</v>
      </c>
      <c r="Z32" s="55">
        <v>0</v>
      </c>
      <c r="AA32" s="55">
        <v>0</v>
      </c>
      <c r="AB32" s="53">
        <v>100</v>
      </c>
      <c r="AC32" s="52" t="s">
        <v>199</v>
      </c>
      <c r="AD32" s="55" t="s">
        <v>190</v>
      </c>
      <c r="AE32" s="55" t="s">
        <v>146</v>
      </c>
      <c r="AF32" s="55" t="s">
        <v>146</v>
      </c>
      <c r="AG32" s="55" t="s">
        <v>142</v>
      </c>
      <c r="AH32" s="55">
        <v>8</v>
      </c>
      <c r="AI32" s="55">
        <v>16</v>
      </c>
      <c r="AJ32" s="62">
        <v>128</v>
      </c>
      <c r="AK32" s="63">
        <v>46304</v>
      </c>
      <c r="AL32" s="64">
        <f>WEEKDAY(Sheet_1_Table_1_13[[#This Row],[Lesson 1 
Date 
(DD-MMM-YYYY)]])</f>
        <v>6</v>
      </c>
      <c r="AM32" s="65">
        <v>0.58333333333333337</v>
      </c>
      <c r="AN32" s="66">
        <v>0.64583333333333337</v>
      </c>
      <c r="AO32" s="92" t="s">
        <v>930</v>
      </c>
      <c r="AP32" s="68">
        <v>46311</v>
      </c>
      <c r="AQ32" s="64">
        <f>WEEKDAY(Sheet_1_Table_1_13[[#This Row],[Lesson 1 
Date 
(DD-MMM-YYYY)]])</f>
        <v>6</v>
      </c>
      <c r="AR32" s="65">
        <v>0.58333333333333337</v>
      </c>
      <c r="AS32" s="66">
        <v>0.64583333333333337</v>
      </c>
      <c r="AT32" s="92" t="s">
        <v>930</v>
      </c>
      <c r="AU32" s="63">
        <v>46318</v>
      </c>
      <c r="AV32" s="64">
        <f>WEEKDAY(Sheet_1_Table_1_13[[#This Row],[Lesson 1 
Date 
(DD-MMM-YYYY)]])</f>
        <v>6</v>
      </c>
      <c r="AW32" s="65">
        <v>0.58333333333333337</v>
      </c>
      <c r="AX32" s="66">
        <v>0.64583333333333337</v>
      </c>
      <c r="AY32" s="92" t="s">
        <v>930</v>
      </c>
      <c r="AZ32" s="98">
        <v>46325</v>
      </c>
      <c r="BA32" s="64">
        <f>WEEKDAY(Sheet_1_Table_1_13[[#This Row],[Lesson 1 
Date 
(DD-MMM-YYYY)]])</f>
        <v>6</v>
      </c>
      <c r="BB32" s="65">
        <v>0.58333333333333337</v>
      </c>
      <c r="BC32" s="66">
        <v>0.64583333333333337</v>
      </c>
      <c r="BD32" s="92" t="s">
        <v>930</v>
      </c>
      <c r="BE32" s="63">
        <v>46332</v>
      </c>
      <c r="BF32" s="64">
        <f>WEEKDAY(Sheet_1_Table_1_13[[#This Row],[Lesson 1 
Date 
(DD-MMM-YYYY)]])</f>
        <v>6</v>
      </c>
      <c r="BG32" s="65">
        <v>0.58333333333333337</v>
      </c>
      <c r="BH32" s="66">
        <v>0.64583333333333337</v>
      </c>
      <c r="BI32" s="92" t="s">
        <v>930</v>
      </c>
      <c r="BJ32" s="98">
        <v>46339</v>
      </c>
      <c r="BK32" s="64">
        <f>WEEKDAY(Sheet_1_Table_1_13[[#This Row],[Lesson 1 
Date 
(DD-MMM-YYYY)]])</f>
        <v>6</v>
      </c>
      <c r="BL32" s="65">
        <v>0.58333333333333337</v>
      </c>
      <c r="BM32" s="66">
        <v>0.64583333333333337</v>
      </c>
      <c r="BN32" s="92" t="s">
        <v>930</v>
      </c>
      <c r="BO32" s="54" t="s">
        <v>163</v>
      </c>
      <c r="BP32" s="69" t="s">
        <v>1002</v>
      </c>
      <c r="BQ32" s="69" t="s">
        <v>777</v>
      </c>
      <c r="BR32" s="57" t="s">
        <v>1003</v>
      </c>
      <c r="BS32" s="54"/>
      <c r="BT32" s="56"/>
      <c r="BU32" s="56"/>
      <c r="BV32" s="57"/>
      <c r="BW32" s="60">
        <v>100</v>
      </c>
      <c r="BX32" s="71">
        <v>0</v>
      </c>
      <c r="BY32" s="56" t="s">
        <v>149</v>
      </c>
      <c r="BZ32" s="56"/>
      <c r="CA32" s="56" t="s">
        <v>911</v>
      </c>
      <c r="CB32" s="72"/>
      <c r="CC32" s="72"/>
      <c r="CD32" s="72"/>
      <c r="CE32" s="56" t="s">
        <v>912</v>
      </c>
      <c r="CF32" s="57" t="s">
        <v>913</v>
      </c>
      <c r="CG32" s="60" t="s">
        <v>914</v>
      </c>
      <c r="CH32" s="71" t="s">
        <v>915</v>
      </c>
      <c r="CI32" s="52" t="s">
        <v>146</v>
      </c>
      <c r="CJ32" s="52" t="s">
        <v>142</v>
      </c>
      <c r="CK32" s="52" t="s">
        <v>142</v>
      </c>
      <c r="CL32" s="52" t="s">
        <v>146</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N32" s="790"/>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94.5">
      <c r="A33" s="48">
        <v>31</v>
      </c>
      <c r="B33" s="49">
        <v>202609</v>
      </c>
      <c r="C33" s="50" t="s">
        <v>1072</v>
      </c>
      <c r="D33" s="50"/>
      <c r="E33" s="51">
        <v>5694</v>
      </c>
      <c r="F33" s="52" t="s">
        <v>134</v>
      </c>
      <c r="G33" s="53" t="s">
        <v>899</v>
      </c>
      <c r="H33" s="97" t="s">
        <v>996</v>
      </c>
      <c r="I33" s="53" t="s">
        <v>997</v>
      </c>
      <c r="J33" s="54" t="s">
        <v>1073</v>
      </c>
      <c r="K33" s="55" t="s">
        <v>1074</v>
      </c>
      <c r="L33" s="55"/>
      <c r="M33" s="56" t="s">
        <v>1075</v>
      </c>
      <c r="N33" s="57" t="s">
        <v>1076</v>
      </c>
      <c r="O33" s="78" t="s">
        <v>146</v>
      </c>
      <c r="P33" s="96" t="s">
        <v>146</v>
      </c>
      <c r="Q33" s="60" t="s">
        <v>906</v>
      </c>
      <c r="R33" s="61" t="str">
        <f>VLOOKUP(Sheet_1_Table_1_13[[#This Row],[Learning Domain]],[9]List!$A$7:$B$12,2,0)</f>
        <v>PFW</v>
      </c>
      <c r="S33" s="55">
        <v>0</v>
      </c>
      <c r="T33" s="55">
        <v>0</v>
      </c>
      <c r="U33" s="55">
        <v>100</v>
      </c>
      <c r="V33" s="55">
        <v>0</v>
      </c>
      <c r="W33" s="55">
        <v>0</v>
      </c>
      <c r="X33" s="55">
        <v>0</v>
      </c>
      <c r="Y33" s="55">
        <v>0</v>
      </c>
      <c r="Z33" s="55">
        <v>0</v>
      </c>
      <c r="AA33" s="55">
        <v>0</v>
      </c>
      <c r="AB33" s="53">
        <v>100</v>
      </c>
      <c r="AC33" s="52" t="s">
        <v>199</v>
      </c>
      <c r="AD33" s="55" t="s">
        <v>190</v>
      </c>
      <c r="AE33" s="55" t="s">
        <v>146</v>
      </c>
      <c r="AF33" s="55" t="s">
        <v>146</v>
      </c>
      <c r="AG33" s="55" t="s">
        <v>142</v>
      </c>
      <c r="AH33" s="55">
        <v>8</v>
      </c>
      <c r="AI33" s="55">
        <v>16</v>
      </c>
      <c r="AJ33" s="62">
        <v>128</v>
      </c>
      <c r="AK33" s="63">
        <v>46304</v>
      </c>
      <c r="AL33" s="64">
        <f>WEEKDAY(Sheet_1_Table_1_13[[#This Row],[Lesson 1 
Date 
(DD-MMM-YYYY)]])</f>
        <v>6</v>
      </c>
      <c r="AM33" s="65">
        <v>0.64583333333333337</v>
      </c>
      <c r="AN33" s="66">
        <v>0.70833333333333337</v>
      </c>
      <c r="AO33" s="104" t="s">
        <v>930</v>
      </c>
      <c r="AP33" s="68">
        <v>46311</v>
      </c>
      <c r="AQ33" s="64">
        <f>WEEKDAY(Sheet_1_Table_1_13[[#This Row],[Lesson 1 
Date 
(DD-MMM-YYYY)]])</f>
        <v>6</v>
      </c>
      <c r="AR33" s="65">
        <v>0.64583333333333337</v>
      </c>
      <c r="AS33" s="66">
        <v>0.70833333333333337</v>
      </c>
      <c r="AT33" s="112" t="s">
        <v>930</v>
      </c>
      <c r="AU33" s="63">
        <v>46318</v>
      </c>
      <c r="AV33" s="64">
        <f>WEEKDAY(Sheet_1_Table_1_13[[#This Row],[Lesson 1 
Date 
(DD-MMM-YYYY)]])</f>
        <v>6</v>
      </c>
      <c r="AW33" s="65">
        <v>0.64583333333333337</v>
      </c>
      <c r="AX33" s="66">
        <v>0.70833333333333337</v>
      </c>
      <c r="AY33" s="112" t="s">
        <v>930</v>
      </c>
      <c r="AZ33" s="98">
        <v>46325</v>
      </c>
      <c r="BA33" s="64">
        <f>WEEKDAY(Sheet_1_Table_1_13[[#This Row],[Lesson 1 
Date 
(DD-MMM-YYYY)]])</f>
        <v>6</v>
      </c>
      <c r="BB33" s="65">
        <v>0.64583333333333337</v>
      </c>
      <c r="BC33" s="66">
        <v>0.70833333333333337</v>
      </c>
      <c r="BD33" s="112" t="s">
        <v>930</v>
      </c>
      <c r="BE33" s="63">
        <v>46332</v>
      </c>
      <c r="BF33" s="64">
        <f>WEEKDAY(Sheet_1_Table_1_13[[#This Row],[Lesson 1 
Date 
(DD-MMM-YYYY)]])</f>
        <v>6</v>
      </c>
      <c r="BG33" s="65">
        <v>0.64583333333333337</v>
      </c>
      <c r="BH33" s="66">
        <v>0.70833333333333337</v>
      </c>
      <c r="BI33" s="112" t="s">
        <v>930</v>
      </c>
      <c r="BJ33" s="98">
        <v>46339</v>
      </c>
      <c r="BK33" s="64">
        <f>WEEKDAY(Sheet_1_Table_1_13[[#This Row],[Lesson 1 
Date 
(DD-MMM-YYYY)]])</f>
        <v>6</v>
      </c>
      <c r="BL33" s="65">
        <v>0.64583333333333337</v>
      </c>
      <c r="BM33" s="66">
        <v>0.70833333333333337</v>
      </c>
      <c r="BN33" s="113" t="s">
        <v>930</v>
      </c>
      <c r="BO33" s="54" t="s">
        <v>163</v>
      </c>
      <c r="BP33" s="69" t="s">
        <v>1002</v>
      </c>
      <c r="BQ33" s="69" t="s">
        <v>777</v>
      </c>
      <c r="BR33" s="57" t="s">
        <v>1003</v>
      </c>
      <c r="BS33" s="54"/>
      <c r="BT33" s="56"/>
      <c r="BU33" s="56"/>
      <c r="BV33" s="57"/>
      <c r="BW33" s="60">
        <v>100</v>
      </c>
      <c r="BX33" s="71">
        <v>0</v>
      </c>
      <c r="BY33" s="56" t="s">
        <v>149</v>
      </c>
      <c r="BZ33" s="56"/>
      <c r="CA33" s="56" t="s">
        <v>911</v>
      </c>
      <c r="CB33" s="72"/>
      <c r="CC33" s="72"/>
      <c r="CD33" s="72"/>
      <c r="CE33" s="56" t="s">
        <v>912</v>
      </c>
      <c r="CF33" s="57" t="s">
        <v>913</v>
      </c>
      <c r="CG33" s="60" t="s">
        <v>914</v>
      </c>
      <c r="CH33" s="71" t="s">
        <v>915</v>
      </c>
      <c r="CI33" s="52" t="s">
        <v>146</v>
      </c>
      <c r="CJ33" s="52" t="s">
        <v>142</v>
      </c>
      <c r="CK33" s="52" t="s">
        <v>142</v>
      </c>
      <c r="CL33" s="52" t="s">
        <v>146</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N33" s="790"/>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95.25" customHeight="1">
      <c r="A34" s="48">
        <v>32</v>
      </c>
      <c r="B34" s="49">
        <v>202609</v>
      </c>
      <c r="C34" s="50" t="s">
        <v>1077</v>
      </c>
      <c r="D34" s="50"/>
      <c r="E34" s="51">
        <v>5702</v>
      </c>
      <c r="F34" s="52" t="s">
        <v>134</v>
      </c>
      <c r="G34" s="53" t="s">
        <v>899</v>
      </c>
      <c r="H34" s="97" t="s">
        <v>924</v>
      </c>
      <c r="I34" s="53" t="s">
        <v>925</v>
      </c>
      <c r="J34" s="54" t="s">
        <v>1078</v>
      </c>
      <c r="K34" s="55" t="s">
        <v>1079</v>
      </c>
      <c r="L34" s="55"/>
      <c r="M34" s="56" t="s">
        <v>1080</v>
      </c>
      <c r="N34" s="57" t="s">
        <v>1081</v>
      </c>
      <c r="O34" s="114" t="s">
        <v>146</v>
      </c>
      <c r="P34" s="96" t="s">
        <v>146</v>
      </c>
      <c r="Q34" s="60" t="s">
        <v>906</v>
      </c>
      <c r="R34" s="61" t="s">
        <v>907</v>
      </c>
      <c r="S34" s="55">
        <v>0</v>
      </c>
      <c r="T34" s="55">
        <v>0</v>
      </c>
      <c r="U34" s="55">
        <v>100</v>
      </c>
      <c r="V34" s="55">
        <v>0</v>
      </c>
      <c r="W34" s="55">
        <v>0</v>
      </c>
      <c r="X34" s="55">
        <v>0</v>
      </c>
      <c r="Y34" s="55">
        <v>0</v>
      </c>
      <c r="Z34" s="55">
        <v>0</v>
      </c>
      <c r="AA34" s="55">
        <v>0</v>
      </c>
      <c r="AB34" s="53">
        <v>100</v>
      </c>
      <c r="AC34" s="52" t="s">
        <v>199</v>
      </c>
      <c r="AD34" s="55" t="s">
        <v>190</v>
      </c>
      <c r="AE34" s="55" t="s">
        <v>146</v>
      </c>
      <c r="AF34" s="55" t="s">
        <v>146</v>
      </c>
      <c r="AG34" s="55" t="s">
        <v>142</v>
      </c>
      <c r="AH34" s="55">
        <v>8</v>
      </c>
      <c r="AI34" s="55">
        <v>16</v>
      </c>
      <c r="AJ34" s="62">
        <v>128</v>
      </c>
      <c r="AK34" s="63">
        <v>46304</v>
      </c>
      <c r="AL34" s="64">
        <f>WEEKDAY(Sheet_1_Table_1_13[[#This Row],[Lesson 1 
Date 
(DD-MMM-YYYY)]])</f>
        <v>6</v>
      </c>
      <c r="AM34" s="65">
        <v>0.77083333333333337</v>
      </c>
      <c r="AN34" s="66">
        <v>0.85416666666666663</v>
      </c>
      <c r="AO34" s="94" t="s">
        <v>930</v>
      </c>
      <c r="AP34" s="68">
        <v>46311</v>
      </c>
      <c r="AQ34" s="64">
        <f>WEEKDAY(Sheet_1_Table_1_13[[#This Row],[Lesson 1 
Date 
(DD-MMM-YYYY)]])</f>
        <v>6</v>
      </c>
      <c r="AR34" s="65">
        <v>0.77083333333333337</v>
      </c>
      <c r="AS34" s="66">
        <v>0.85416666666666663</v>
      </c>
      <c r="AT34" s="115" t="s">
        <v>930</v>
      </c>
      <c r="AU34" s="63">
        <v>46318</v>
      </c>
      <c r="AV34" s="64">
        <f>WEEKDAY(Sheet_1_Table_1_13[[#This Row],[Lesson 1 
Date 
(DD-MMM-YYYY)]])</f>
        <v>6</v>
      </c>
      <c r="AW34" s="65">
        <v>0.77083333333333337</v>
      </c>
      <c r="AX34" s="66">
        <v>0.85416666666666663</v>
      </c>
      <c r="AY34" s="115" t="s">
        <v>930</v>
      </c>
      <c r="AZ34" s="98">
        <v>46325</v>
      </c>
      <c r="BA34" s="64">
        <f>WEEKDAY(Sheet_1_Table_1_13[[#This Row],[Lesson 1 
Date 
(DD-MMM-YYYY)]])</f>
        <v>6</v>
      </c>
      <c r="BB34" s="65">
        <v>0.77083333333333337</v>
      </c>
      <c r="BC34" s="66">
        <v>0.85416666666666663</v>
      </c>
      <c r="BD34" s="115" t="s">
        <v>930</v>
      </c>
      <c r="BE34" s="116">
        <v>46332</v>
      </c>
      <c r="BF34" s="64">
        <f>WEEKDAY(Sheet_1_Table_1_13[[#This Row],[Lesson 1 
Date 
(DD-MMM-YYYY)]])</f>
        <v>6</v>
      </c>
      <c r="BG34" s="117">
        <v>0.77083333333333337</v>
      </c>
      <c r="BH34" s="66">
        <v>0.85416666666666663</v>
      </c>
      <c r="BI34" s="115" t="s">
        <v>930</v>
      </c>
      <c r="BJ34" s="98">
        <v>46339</v>
      </c>
      <c r="BK34" s="64">
        <f>WEEKDAY(Sheet_1_Table_1_13[[#This Row],[Lesson 1 
Date 
(DD-MMM-YYYY)]])</f>
        <v>6</v>
      </c>
      <c r="BL34" s="65">
        <v>0.77083333333333337</v>
      </c>
      <c r="BM34" s="66">
        <v>0.85416666666666663</v>
      </c>
      <c r="BN34" s="100" t="s">
        <v>930</v>
      </c>
      <c r="BO34" s="54" t="s">
        <v>293</v>
      </c>
      <c r="BP34" s="69" t="s">
        <v>1082</v>
      </c>
      <c r="BQ34" s="69" t="s">
        <v>777</v>
      </c>
      <c r="BR34" s="57" t="s">
        <v>1083</v>
      </c>
      <c r="BS34" s="54" t="s">
        <v>163</v>
      </c>
      <c r="BT34" s="56" t="s">
        <v>1084</v>
      </c>
      <c r="BU34" s="56" t="s">
        <v>1085</v>
      </c>
      <c r="BV34" s="57" t="s">
        <v>1086</v>
      </c>
      <c r="BW34" s="60">
        <v>100</v>
      </c>
      <c r="BX34" s="71">
        <v>0</v>
      </c>
      <c r="BY34" s="56" t="s">
        <v>149</v>
      </c>
      <c r="BZ34" s="56"/>
      <c r="CA34" s="56" t="s">
        <v>911</v>
      </c>
      <c r="CB34" s="72"/>
      <c r="CC34" s="72"/>
      <c r="CD34" s="72"/>
      <c r="CE34" s="56" t="s">
        <v>912</v>
      </c>
      <c r="CF34" s="57" t="s">
        <v>913</v>
      </c>
      <c r="CG34" s="60" t="s">
        <v>914</v>
      </c>
      <c r="CH34" s="71" t="s">
        <v>915</v>
      </c>
      <c r="CI34" s="52" t="s">
        <v>146</v>
      </c>
      <c r="CJ34" s="52" t="s">
        <v>142</v>
      </c>
      <c r="CK34" s="52" t="s">
        <v>142</v>
      </c>
      <c r="CL34" s="52" t="s">
        <v>146</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N34" s="790"/>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s="124" customFormat="1" ht="80.099999999999994" customHeight="1">
      <c r="A35" s="48">
        <v>33</v>
      </c>
      <c r="B35" s="49">
        <v>202609</v>
      </c>
      <c r="C35" s="50" t="s">
        <v>1087</v>
      </c>
      <c r="D35" s="50"/>
      <c r="E35" s="118">
        <v>5712</v>
      </c>
      <c r="F35" s="82" t="s">
        <v>134</v>
      </c>
      <c r="G35" s="53" t="s">
        <v>899</v>
      </c>
      <c r="H35" s="119" t="s">
        <v>304</v>
      </c>
      <c r="I35" s="120" t="s">
        <v>305</v>
      </c>
      <c r="J35" s="121" t="s">
        <v>1088</v>
      </c>
      <c r="K35" s="55" t="s">
        <v>1089</v>
      </c>
      <c r="L35" s="55"/>
      <c r="M35" s="56" t="s">
        <v>1090</v>
      </c>
      <c r="N35" s="122" t="s">
        <v>1091</v>
      </c>
      <c r="O35" s="114" t="s">
        <v>146</v>
      </c>
      <c r="P35" s="96" t="s">
        <v>146</v>
      </c>
      <c r="Q35" s="86" t="s">
        <v>906</v>
      </c>
      <c r="R35" s="61" t="str">
        <f>VLOOKUP(Sheet_1_Table_1_13[[#This Row],[Learning Domain]],[9]List!$A$7:$B$12,2,0)</f>
        <v>PFW</v>
      </c>
      <c r="S35" s="55">
        <v>0</v>
      </c>
      <c r="T35" s="55">
        <v>0</v>
      </c>
      <c r="U35" s="55">
        <v>50</v>
      </c>
      <c r="V35" s="55">
        <v>50</v>
      </c>
      <c r="W35" s="55">
        <v>0</v>
      </c>
      <c r="X35" s="55">
        <v>0</v>
      </c>
      <c r="Y35" s="55">
        <v>0</v>
      </c>
      <c r="Z35" s="55">
        <v>0</v>
      </c>
      <c r="AA35" s="55">
        <v>0</v>
      </c>
      <c r="AB35" s="53">
        <f>SUM(Sheet_1_Table_1_13[[#This Row],[Leadership LS]:[Career Development  CR]])</f>
        <v>100</v>
      </c>
      <c r="AC35" s="97" t="s">
        <v>144</v>
      </c>
      <c r="AD35" s="83" t="s">
        <v>190</v>
      </c>
      <c r="AE35" s="55" t="s">
        <v>142</v>
      </c>
      <c r="AF35" s="55" t="s">
        <v>146</v>
      </c>
      <c r="AG35" s="55" t="s">
        <v>142</v>
      </c>
      <c r="AH35" s="55">
        <v>1</v>
      </c>
      <c r="AI35" s="55">
        <v>60</v>
      </c>
      <c r="AJ35" s="62">
        <f>Sheet_1_Table_1_13[[#This Row],[ILP Units Per Session]]*Sheet_1_Table_1_13[[#This Row],[Quota]]</f>
        <v>60</v>
      </c>
      <c r="AK35" s="63">
        <v>46309</v>
      </c>
      <c r="AL35" s="64">
        <f>WEEKDAY(Sheet_1_Table_1_13[[#This Row],[Lesson 1 
Date 
(DD-MMM-YYYY)]])</f>
        <v>4</v>
      </c>
      <c r="AM35" s="65">
        <v>0.60416666666666663</v>
      </c>
      <c r="AN35" s="66">
        <v>0.64583333333333337</v>
      </c>
      <c r="AO35" s="67" t="s">
        <v>538</v>
      </c>
      <c r="AP35" s="68"/>
      <c r="AQ35" s="64">
        <f>WEEKDAY(Sheet_1_Table_1_13[[#This Row],[Lesson 1 
Date 
(DD-MMM-YYYY)]])</f>
        <v>4</v>
      </c>
      <c r="AR35" s="65"/>
      <c r="AS35" s="66"/>
      <c r="AT35" s="67"/>
      <c r="AU35" s="63"/>
      <c r="AV35" s="64">
        <f>WEEKDAY(Sheet_1_Table_1_13[[#This Row],[Lesson 1 
Date 
(DD-MMM-YYYY)]])</f>
        <v>4</v>
      </c>
      <c r="AW35" s="65"/>
      <c r="AX35" s="66"/>
      <c r="AY35" s="67"/>
      <c r="AZ35" s="68"/>
      <c r="BA35" s="64">
        <f>WEEKDAY(Sheet_1_Table_1_13[[#This Row],[Lesson 1 
Date 
(DD-MMM-YYYY)]])</f>
        <v>4</v>
      </c>
      <c r="BB35" s="65"/>
      <c r="BC35" s="66"/>
      <c r="BD35" s="67"/>
      <c r="BE35" s="63"/>
      <c r="BF35" s="64">
        <f>WEEKDAY(Sheet_1_Table_1_13[[#This Row],[Lesson 1 
Date 
(DD-MMM-YYYY)]])</f>
        <v>4</v>
      </c>
      <c r="BG35" s="65"/>
      <c r="BH35" s="66"/>
      <c r="BI35" s="67"/>
      <c r="BJ35" s="68"/>
      <c r="BK35" s="64">
        <f>WEEKDAY(Sheet_1_Table_1_13[[#This Row],[Lesson 1 
Date 
(DD-MMM-YYYY)]])</f>
        <v>4</v>
      </c>
      <c r="BL35" s="65"/>
      <c r="BM35" s="66"/>
      <c r="BN35" s="67"/>
      <c r="BO35" s="54" t="s">
        <v>289</v>
      </c>
      <c r="BP35" s="69" t="s">
        <v>1092</v>
      </c>
      <c r="BQ35" s="55" t="s">
        <v>402</v>
      </c>
      <c r="BR35" s="57" t="s">
        <v>1093</v>
      </c>
      <c r="BS35" s="52"/>
      <c r="BT35" s="56"/>
      <c r="BU35" s="56"/>
      <c r="BV35" s="70"/>
      <c r="BW35" s="60">
        <v>0</v>
      </c>
      <c r="BX35" s="71">
        <v>0</v>
      </c>
      <c r="BY35" s="56"/>
      <c r="BZ35" s="56"/>
      <c r="CA35" s="56"/>
      <c r="CB35" s="72"/>
      <c r="CC35" s="72"/>
      <c r="CD35" s="71"/>
      <c r="CE35" s="56" t="s">
        <v>912</v>
      </c>
      <c r="CF35" s="57" t="s">
        <v>913</v>
      </c>
      <c r="CG35" s="60" t="s">
        <v>914</v>
      </c>
      <c r="CH35" s="71" t="s">
        <v>915</v>
      </c>
      <c r="CI35" s="80" t="s">
        <v>146</v>
      </c>
      <c r="CJ35" s="80" t="s">
        <v>142</v>
      </c>
      <c r="CK35" s="80" t="s">
        <v>142</v>
      </c>
      <c r="CL35" s="80" t="s">
        <v>146</v>
      </c>
      <c r="CM35" s="80" t="s">
        <v>142</v>
      </c>
      <c r="CN35" s="80" t="s">
        <v>142</v>
      </c>
      <c r="CO35" s="80" t="s">
        <v>142</v>
      </c>
      <c r="CP35" s="80" t="s">
        <v>142</v>
      </c>
      <c r="CQ35" s="80" t="s">
        <v>142</v>
      </c>
      <c r="CR35" s="80" t="s">
        <v>142</v>
      </c>
      <c r="CS35" s="80" t="s">
        <v>142</v>
      </c>
      <c r="CT35" s="80" t="s">
        <v>142</v>
      </c>
      <c r="CU35" s="80" t="s">
        <v>142</v>
      </c>
      <c r="CV35" s="80" t="s">
        <v>142</v>
      </c>
      <c r="CW35" s="80" t="s">
        <v>142</v>
      </c>
      <c r="CX35" s="80" t="s">
        <v>142</v>
      </c>
      <c r="CY35" s="80" t="s">
        <v>142</v>
      </c>
      <c r="CZ35" s="85" t="s">
        <v>142</v>
      </c>
      <c r="DA35" s="82" t="s">
        <v>154</v>
      </c>
      <c r="DB35" s="79" t="s">
        <v>155</v>
      </c>
      <c r="DC35" s="79" t="s">
        <v>156</v>
      </c>
      <c r="DD35" s="79" t="s">
        <v>146</v>
      </c>
      <c r="DE35" s="79" t="s">
        <v>157</v>
      </c>
      <c r="DF35" s="79" t="s">
        <v>146</v>
      </c>
      <c r="DG35" s="87"/>
      <c r="DH35" s="87"/>
      <c r="DI35" s="88"/>
      <c r="DJ35" s="89"/>
      <c r="DK35" s="90" t="s">
        <v>146</v>
      </c>
      <c r="DL35" s="90" t="s">
        <v>146</v>
      </c>
      <c r="DM35" s="90" t="s">
        <v>146</v>
      </c>
      <c r="DN35" s="832"/>
      <c r="DO35" s="123"/>
      <c r="DP35" s="123"/>
      <c r="DQ35" s="123"/>
      <c r="DR35" s="123"/>
      <c r="DS35" s="123"/>
    </row>
    <row r="36" spans="1:156" ht="80.099999999999994" customHeight="1">
      <c r="A36" s="48">
        <v>34</v>
      </c>
      <c r="B36" s="49">
        <v>202609</v>
      </c>
      <c r="C36" s="50" t="s">
        <v>1094</v>
      </c>
      <c r="D36" s="50"/>
      <c r="E36" s="51">
        <v>5713</v>
      </c>
      <c r="F36" s="54" t="s">
        <v>134</v>
      </c>
      <c r="G36" s="53" t="s">
        <v>899</v>
      </c>
      <c r="H36" s="119" t="s">
        <v>304</v>
      </c>
      <c r="I36" s="120" t="s">
        <v>305</v>
      </c>
      <c r="J36" s="121" t="s">
        <v>1095</v>
      </c>
      <c r="K36" s="55" t="s">
        <v>1096</v>
      </c>
      <c r="L36" s="55"/>
      <c r="M36" s="56" t="s">
        <v>1097</v>
      </c>
      <c r="N36" s="125" t="s">
        <v>1098</v>
      </c>
      <c r="O36" s="58" t="s">
        <v>146</v>
      </c>
      <c r="P36" s="96" t="s">
        <v>146</v>
      </c>
      <c r="Q36" s="86" t="s">
        <v>906</v>
      </c>
      <c r="R36" s="61" t="str">
        <f>VLOOKUP(Sheet_1_Table_1_13[[#This Row],[Learning Domain]],[9]List!$A$7:$B$12,2,0)</f>
        <v>PFW</v>
      </c>
      <c r="S36" s="55">
        <v>0</v>
      </c>
      <c r="T36" s="55">
        <v>0</v>
      </c>
      <c r="U36" s="55">
        <v>50</v>
      </c>
      <c r="V36" s="55">
        <v>50</v>
      </c>
      <c r="W36" s="55">
        <v>0</v>
      </c>
      <c r="X36" s="55">
        <v>0</v>
      </c>
      <c r="Y36" s="55">
        <v>0</v>
      </c>
      <c r="Z36" s="55">
        <v>0</v>
      </c>
      <c r="AA36" s="55">
        <v>0</v>
      </c>
      <c r="AB36" s="53">
        <f>SUM(Sheet_1_Table_1_13[[#This Row],[Leadership LS]:[Career Development  CR]])</f>
        <v>100</v>
      </c>
      <c r="AC36" s="97" t="s">
        <v>144</v>
      </c>
      <c r="AD36" s="83" t="s">
        <v>190</v>
      </c>
      <c r="AE36" s="55" t="s">
        <v>142</v>
      </c>
      <c r="AF36" s="55" t="s">
        <v>146</v>
      </c>
      <c r="AG36" s="55" t="s">
        <v>142</v>
      </c>
      <c r="AH36" s="55">
        <v>1</v>
      </c>
      <c r="AI36" s="55">
        <v>60</v>
      </c>
      <c r="AJ36" s="62">
        <f>Sheet_1_Table_1_13[[#This Row],[ILP Units Per Session]]*Sheet_1_Table_1_13[[#This Row],[Quota]]</f>
        <v>60</v>
      </c>
      <c r="AK36" s="63">
        <v>46309</v>
      </c>
      <c r="AL36" s="64">
        <f>WEEKDAY(Sheet_1_Table_1_13[[#This Row],[Lesson 1 
Date 
(DD-MMM-YYYY)]])</f>
        <v>4</v>
      </c>
      <c r="AM36" s="65">
        <v>0.64583333333333337</v>
      </c>
      <c r="AN36" s="66">
        <v>0.6875</v>
      </c>
      <c r="AO36" s="67" t="s">
        <v>538</v>
      </c>
      <c r="AP36" s="68"/>
      <c r="AQ36" s="64">
        <f>WEEKDAY(Sheet_1_Table_1_13[[#This Row],[Lesson 1 
Date 
(DD-MMM-YYYY)]])</f>
        <v>4</v>
      </c>
      <c r="AR36" s="65"/>
      <c r="AS36" s="66"/>
      <c r="AT36" s="126"/>
      <c r="AU36" s="63"/>
      <c r="AV36" s="64">
        <f>WEEKDAY(Sheet_1_Table_1_13[[#This Row],[Lesson 1 
Date 
(DD-MMM-YYYY)]])</f>
        <v>4</v>
      </c>
      <c r="AW36" s="65"/>
      <c r="AX36" s="66"/>
      <c r="AY36" s="126"/>
      <c r="AZ36" s="98"/>
      <c r="BA36" s="64">
        <f>WEEKDAY(Sheet_1_Table_1_13[[#This Row],[Lesson 1 
Date 
(DD-MMM-YYYY)]])</f>
        <v>4</v>
      </c>
      <c r="BB36" s="65"/>
      <c r="BC36" s="66"/>
      <c r="BD36" s="126"/>
      <c r="BE36" s="63"/>
      <c r="BF36" s="64">
        <f>WEEKDAY(Sheet_1_Table_1_13[[#This Row],[Lesson 1 
Date 
(DD-MMM-YYYY)]])</f>
        <v>4</v>
      </c>
      <c r="BG36" s="65"/>
      <c r="BH36" s="66"/>
      <c r="BI36" s="126"/>
      <c r="BJ36" s="98"/>
      <c r="BK36" s="64">
        <f>WEEKDAY(Sheet_1_Table_1_13[[#This Row],[Lesson 1 
Date 
(DD-MMM-YYYY)]])</f>
        <v>4</v>
      </c>
      <c r="BL36" s="65"/>
      <c r="BM36" s="66"/>
      <c r="BN36" s="99"/>
      <c r="BO36" s="54" t="s">
        <v>289</v>
      </c>
      <c r="BP36" s="69" t="s">
        <v>1092</v>
      </c>
      <c r="BQ36" s="55" t="s">
        <v>402</v>
      </c>
      <c r="BR36" s="57" t="s">
        <v>1093</v>
      </c>
      <c r="BS36" s="54"/>
      <c r="BT36" s="56"/>
      <c r="BU36" s="56"/>
      <c r="BV36" s="57"/>
      <c r="BW36" s="60">
        <v>0</v>
      </c>
      <c r="BX36" s="71">
        <v>0</v>
      </c>
      <c r="BY36" s="56"/>
      <c r="BZ36" s="56"/>
      <c r="CA36" s="56"/>
      <c r="CB36" s="72"/>
      <c r="CC36" s="72"/>
      <c r="CD36" s="72"/>
      <c r="CE36" s="56" t="s">
        <v>912</v>
      </c>
      <c r="CF36" s="57" t="s">
        <v>913</v>
      </c>
      <c r="CG36" s="60" t="s">
        <v>914</v>
      </c>
      <c r="CH36" s="71" t="s">
        <v>915</v>
      </c>
      <c r="CI36" s="80" t="s">
        <v>146</v>
      </c>
      <c r="CJ36" s="80" t="s">
        <v>142</v>
      </c>
      <c r="CK36" s="80" t="s">
        <v>142</v>
      </c>
      <c r="CL36" s="80" t="s">
        <v>146</v>
      </c>
      <c r="CM36" s="80" t="s">
        <v>142</v>
      </c>
      <c r="CN36" s="80" t="s">
        <v>142</v>
      </c>
      <c r="CO36" s="80" t="s">
        <v>142</v>
      </c>
      <c r="CP36" s="80" t="s">
        <v>142</v>
      </c>
      <c r="CQ36" s="80" t="s">
        <v>142</v>
      </c>
      <c r="CR36" s="80" t="s">
        <v>142</v>
      </c>
      <c r="CS36" s="80" t="s">
        <v>142</v>
      </c>
      <c r="CT36" s="80" t="s">
        <v>142</v>
      </c>
      <c r="CU36" s="80" t="s">
        <v>142</v>
      </c>
      <c r="CV36" s="80" t="s">
        <v>142</v>
      </c>
      <c r="CW36" s="80" t="s">
        <v>142</v>
      </c>
      <c r="CX36" s="80" t="s">
        <v>142</v>
      </c>
      <c r="CY36" s="80" t="s">
        <v>142</v>
      </c>
      <c r="CZ36" s="85" t="s">
        <v>142</v>
      </c>
      <c r="DA36" s="82" t="s">
        <v>154</v>
      </c>
      <c r="DB36" s="79" t="s">
        <v>155</v>
      </c>
      <c r="DC36" s="79" t="s">
        <v>156</v>
      </c>
      <c r="DD36" s="79" t="s">
        <v>146</v>
      </c>
      <c r="DE36" s="79" t="s">
        <v>157</v>
      </c>
      <c r="DF36" s="79" t="s">
        <v>146</v>
      </c>
      <c r="DG36" s="87"/>
      <c r="DH36" s="87"/>
      <c r="DI36" s="88"/>
      <c r="DJ36" s="89"/>
      <c r="DK36" s="90" t="s">
        <v>146</v>
      </c>
      <c r="DL36" s="90" t="s">
        <v>146</v>
      </c>
      <c r="DM36" s="90" t="s">
        <v>146</v>
      </c>
      <c r="DN36" s="790"/>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35</v>
      </c>
      <c r="B37" s="49">
        <v>202609</v>
      </c>
      <c r="C37" s="50" t="s">
        <v>1099</v>
      </c>
      <c r="D37" s="50"/>
      <c r="E37" s="51">
        <v>5709</v>
      </c>
      <c r="F37" s="52" t="s">
        <v>134</v>
      </c>
      <c r="G37" s="53" t="s">
        <v>899</v>
      </c>
      <c r="H37" s="97" t="s">
        <v>304</v>
      </c>
      <c r="I37" s="53" t="s">
        <v>305</v>
      </c>
      <c r="J37" s="54" t="s">
        <v>1100</v>
      </c>
      <c r="K37" s="55" t="s">
        <v>1101</v>
      </c>
      <c r="L37" s="55"/>
      <c r="M37" s="56" t="s">
        <v>1102</v>
      </c>
      <c r="N37" s="57" t="s">
        <v>1103</v>
      </c>
      <c r="O37" s="58" t="s">
        <v>146</v>
      </c>
      <c r="P37" s="96" t="s">
        <v>146</v>
      </c>
      <c r="Q37" s="60" t="s">
        <v>906</v>
      </c>
      <c r="R37" s="61" t="str">
        <f>VLOOKUP(Sheet_1_Table_1_13[[#This Row],[Learning Domain]],[9]List!$A$7:$B$12,2,0)</f>
        <v>PFW</v>
      </c>
      <c r="S37" s="55">
        <v>0</v>
      </c>
      <c r="T37" s="55">
        <v>0</v>
      </c>
      <c r="U37" s="55">
        <v>100</v>
      </c>
      <c r="V37" s="55">
        <v>0</v>
      </c>
      <c r="W37" s="55">
        <v>0</v>
      </c>
      <c r="X37" s="55">
        <v>0</v>
      </c>
      <c r="Y37" s="55">
        <v>0</v>
      </c>
      <c r="Z37" s="55">
        <v>0</v>
      </c>
      <c r="AA37" s="55">
        <v>0</v>
      </c>
      <c r="AB37" s="53">
        <f>SUM(Sheet_1_Table_1_13[[#This Row],[Leadership LS]:[Career Development  CR]])</f>
        <v>100</v>
      </c>
      <c r="AC37" s="97" t="s">
        <v>199</v>
      </c>
      <c r="AD37" s="55" t="s">
        <v>190</v>
      </c>
      <c r="AE37" s="55" t="s">
        <v>146</v>
      </c>
      <c r="AF37" s="55" t="s">
        <v>146</v>
      </c>
      <c r="AG37" s="55" t="s">
        <v>146</v>
      </c>
      <c r="AH37" s="55">
        <v>2.5</v>
      </c>
      <c r="AI37" s="55">
        <v>30</v>
      </c>
      <c r="AJ37" s="62">
        <f>Sheet_1_Table_1_13[[#This Row],[ILP Units Per Session]]*Sheet_1_Table_1_13[[#This Row],[Quota]]</f>
        <v>75</v>
      </c>
      <c r="AK37" s="63">
        <v>46325</v>
      </c>
      <c r="AL37" s="64">
        <f>WEEKDAY(Sheet_1_Table_1_13[[#This Row],[Lesson 1 
Date 
(DD-MMM-YYYY)]])</f>
        <v>6</v>
      </c>
      <c r="AM37" s="65">
        <v>0.60416666666666663</v>
      </c>
      <c r="AN37" s="66">
        <v>0.70833333333333337</v>
      </c>
      <c r="AO37" s="67" t="s">
        <v>1104</v>
      </c>
      <c r="AP37" s="68"/>
      <c r="AQ37" s="64">
        <f>WEEKDAY(Sheet_1_Table_1_13[[#This Row],[Lesson 1 
Date 
(DD-MMM-YYYY)]])</f>
        <v>6</v>
      </c>
      <c r="AR37" s="65"/>
      <c r="AS37" s="66"/>
      <c r="AT37" s="126"/>
      <c r="AU37" s="63"/>
      <c r="AV37" s="64">
        <f>WEEKDAY(Sheet_1_Table_1_13[[#This Row],[Lesson 1 
Date 
(DD-MMM-YYYY)]])</f>
        <v>6</v>
      </c>
      <c r="AW37" s="65"/>
      <c r="AX37" s="66"/>
      <c r="AY37" s="126"/>
      <c r="AZ37" s="98"/>
      <c r="BA37" s="64">
        <f>WEEKDAY(Sheet_1_Table_1_13[[#This Row],[Lesson 1 
Date 
(DD-MMM-YYYY)]])</f>
        <v>6</v>
      </c>
      <c r="BB37" s="65"/>
      <c r="BC37" s="66"/>
      <c r="BD37" s="126"/>
      <c r="BE37" s="63"/>
      <c r="BF37" s="64">
        <f>WEEKDAY(Sheet_1_Table_1_13[[#This Row],[Lesson 1 
Date 
(DD-MMM-YYYY)]])</f>
        <v>6</v>
      </c>
      <c r="BG37" s="65"/>
      <c r="BH37" s="66"/>
      <c r="BI37" s="126"/>
      <c r="BJ37" s="98"/>
      <c r="BK37" s="64">
        <f>WEEKDAY(Sheet_1_Table_1_13[[#This Row],[Lesson 1 
Date 
(DD-MMM-YYYY)]])</f>
        <v>6</v>
      </c>
      <c r="BL37" s="65"/>
      <c r="BM37" s="66"/>
      <c r="BN37" s="99"/>
      <c r="BO37" s="54"/>
      <c r="BP37" s="69"/>
      <c r="BQ37" s="55"/>
      <c r="BR37" s="57" t="s">
        <v>1105</v>
      </c>
      <c r="BS37" s="54"/>
      <c r="BT37" s="56"/>
      <c r="BU37" s="56"/>
      <c r="BV37" s="57"/>
      <c r="BW37" s="60">
        <v>0</v>
      </c>
      <c r="BX37" s="71">
        <v>100</v>
      </c>
      <c r="BY37" s="56"/>
      <c r="BZ37" s="56"/>
      <c r="CA37" s="56" t="s">
        <v>911</v>
      </c>
      <c r="CB37" s="72"/>
      <c r="CC37" s="72"/>
      <c r="CD37" s="72"/>
      <c r="CE37" s="56" t="s">
        <v>912</v>
      </c>
      <c r="CF37" s="57" t="s">
        <v>913</v>
      </c>
      <c r="CG37" s="60" t="s">
        <v>914</v>
      </c>
      <c r="CH37" s="71" t="s">
        <v>915</v>
      </c>
      <c r="CI37" s="52" t="s">
        <v>146</v>
      </c>
      <c r="CJ37" s="52" t="s">
        <v>142</v>
      </c>
      <c r="CK37" s="52" t="s">
        <v>142</v>
      </c>
      <c r="CL37" s="52" t="s">
        <v>146</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N37" s="790"/>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s="133" customFormat="1" ht="233.25" customHeight="1">
      <c r="A38" s="48">
        <v>36</v>
      </c>
      <c r="B38" s="49">
        <v>202609</v>
      </c>
      <c r="C38" s="50" t="s">
        <v>1106</v>
      </c>
      <c r="D38" s="50"/>
      <c r="E38" s="127">
        <v>5710</v>
      </c>
      <c r="F38" s="52" t="s">
        <v>134</v>
      </c>
      <c r="G38" s="53" t="s">
        <v>899</v>
      </c>
      <c r="H38" s="52" t="s">
        <v>304</v>
      </c>
      <c r="I38" s="59" t="s">
        <v>305</v>
      </c>
      <c r="J38" s="128" t="s">
        <v>1107</v>
      </c>
      <c r="K38" s="129" t="s">
        <v>1108</v>
      </c>
      <c r="L38" s="55"/>
      <c r="M38" s="130" t="s">
        <v>1109</v>
      </c>
      <c r="N38" s="131" t="s">
        <v>1110</v>
      </c>
      <c r="O38" s="78" t="s">
        <v>146</v>
      </c>
      <c r="P38" s="59" t="s">
        <v>146</v>
      </c>
      <c r="Q38" s="60" t="s">
        <v>906</v>
      </c>
      <c r="R38" s="61" t="s">
        <v>907</v>
      </c>
      <c r="S38" s="55">
        <v>0</v>
      </c>
      <c r="T38" s="55">
        <v>0</v>
      </c>
      <c r="U38" s="55">
        <v>100</v>
      </c>
      <c r="V38" s="55">
        <v>0</v>
      </c>
      <c r="W38" s="55">
        <v>0</v>
      </c>
      <c r="X38" s="55">
        <v>0</v>
      </c>
      <c r="Y38" s="55">
        <v>0</v>
      </c>
      <c r="Z38" s="55">
        <v>0</v>
      </c>
      <c r="AA38" s="55">
        <v>0</v>
      </c>
      <c r="AB38" s="132">
        <v>100</v>
      </c>
      <c r="AC38" s="97" t="s">
        <v>199</v>
      </c>
      <c r="AD38" s="55" t="s">
        <v>190</v>
      </c>
      <c r="AE38" s="55" t="s">
        <v>146</v>
      </c>
      <c r="AF38" s="55" t="s">
        <v>146</v>
      </c>
      <c r="AG38" s="55" t="s">
        <v>146</v>
      </c>
      <c r="AH38" s="55">
        <v>2</v>
      </c>
      <c r="AI38" s="55">
        <v>20</v>
      </c>
      <c r="AJ38" s="62">
        <f>Sheet_1_Table_1_13[[#This Row],[ILP Units Per Session]]*Sheet_1_Table_1_13[[#This Row],[Quota]]</f>
        <v>40</v>
      </c>
      <c r="AK38" s="63">
        <v>46332</v>
      </c>
      <c r="AL38" s="64">
        <f>WEEKDAY(Sheet_1_Table_1_13[[#This Row],[Lesson 1 
Date 
(DD-MMM-YYYY)]])</f>
        <v>6</v>
      </c>
      <c r="AM38" s="65">
        <v>0.625</v>
      </c>
      <c r="AN38" s="66">
        <v>0.70833333333333337</v>
      </c>
      <c r="AO38" s="67" t="s">
        <v>1104</v>
      </c>
      <c r="AP38" s="68"/>
      <c r="AQ38" s="64">
        <f>WEEKDAY(Sheet_1_Table_1_13[[#This Row],[Lesson 1 
Date 
(DD-MMM-YYYY)]])</f>
        <v>6</v>
      </c>
      <c r="AR38" s="65"/>
      <c r="AS38" s="66"/>
      <c r="AT38" s="66"/>
      <c r="AU38" s="63"/>
      <c r="AV38" s="64">
        <f>WEEKDAY(Sheet_1_Table_1_13[[#This Row],[Lesson 1 
Date 
(DD-MMM-YYYY)]])</f>
        <v>6</v>
      </c>
      <c r="AW38" s="65"/>
      <c r="AX38" s="66"/>
      <c r="AY38" s="67"/>
      <c r="AZ38" s="68"/>
      <c r="BA38" s="64">
        <f>WEEKDAY(Sheet_1_Table_1_13[[#This Row],[Lesson 1 
Date 
(DD-MMM-YYYY)]])</f>
        <v>6</v>
      </c>
      <c r="BB38" s="65"/>
      <c r="BC38" s="66"/>
      <c r="BD38" s="66"/>
      <c r="BE38" s="63"/>
      <c r="BF38" s="64">
        <f>WEEKDAY(Sheet_1_Table_1_13[[#This Row],[Lesson 1 
Date 
(DD-MMM-YYYY)]])</f>
        <v>6</v>
      </c>
      <c r="BG38" s="65"/>
      <c r="BH38" s="66"/>
      <c r="BI38" s="67"/>
      <c r="BJ38" s="68"/>
      <c r="BK38" s="64">
        <f>WEEKDAY(Sheet_1_Table_1_13[[#This Row],[Lesson 1 
Date 
(DD-MMM-YYYY)]])</f>
        <v>6</v>
      </c>
      <c r="BL38" s="65"/>
      <c r="BM38" s="66"/>
      <c r="BN38" s="66"/>
      <c r="BO38" s="54"/>
      <c r="BP38" s="69"/>
      <c r="BQ38" s="55"/>
      <c r="BR38" s="84" t="s">
        <v>1111</v>
      </c>
      <c r="BS38" s="52"/>
      <c r="BT38" s="56"/>
      <c r="BU38" s="56"/>
      <c r="BV38" s="70"/>
      <c r="BW38" s="60">
        <v>0</v>
      </c>
      <c r="BX38" s="71">
        <v>100</v>
      </c>
      <c r="BY38" s="56"/>
      <c r="BZ38" s="56"/>
      <c r="CA38" s="56" t="s">
        <v>911</v>
      </c>
      <c r="CB38" s="72"/>
      <c r="CC38" s="72"/>
      <c r="CD38" s="71"/>
      <c r="CE38" s="56" t="s">
        <v>912</v>
      </c>
      <c r="CF38" s="57" t="s">
        <v>913</v>
      </c>
      <c r="CG38" s="60" t="s">
        <v>914</v>
      </c>
      <c r="CH38" s="71" t="s">
        <v>915</v>
      </c>
      <c r="CI38" s="52" t="s">
        <v>146</v>
      </c>
      <c r="CJ38" s="52" t="s">
        <v>142</v>
      </c>
      <c r="CK38" s="52" t="s">
        <v>142</v>
      </c>
      <c r="CL38" s="52" t="s">
        <v>146</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row>
    <row r="39" spans="1:156" ht="80.099999999999994" customHeight="1">
      <c r="A39" s="48">
        <v>37</v>
      </c>
      <c r="B39" s="49">
        <v>202609</v>
      </c>
      <c r="C39" s="50" t="s">
        <v>1112</v>
      </c>
      <c r="D39" s="50"/>
      <c r="E39" s="51">
        <v>5711</v>
      </c>
      <c r="F39" s="52" t="s">
        <v>134</v>
      </c>
      <c r="G39" s="53" t="s">
        <v>899</v>
      </c>
      <c r="H39" s="97" t="s">
        <v>304</v>
      </c>
      <c r="I39" s="53" t="s">
        <v>305</v>
      </c>
      <c r="J39" s="54" t="s">
        <v>1113</v>
      </c>
      <c r="K39" s="55" t="s">
        <v>1114</v>
      </c>
      <c r="L39" s="55"/>
      <c r="M39" s="56"/>
      <c r="N39" s="57"/>
      <c r="O39" s="78" t="s">
        <v>146</v>
      </c>
      <c r="P39" s="96" t="s">
        <v>146</v>
      </c>
      <c r="Q39" s="60" t="s">
        <v>906</v>
      </c>
      <c r="R39" s="61" t="str">
        <f>VLOOKUP(Sheet_1_Table_1_13[[#This Row],[Learning Domain]],[9]List!$A$7:$B$12,2,0)</f>
        <v>PFW</v>
      </c>
      <c r="S39" s="55">
        <v>0</v>
      </c>
      <c r="T39" s="55">
        <v>0</v>
      </c>
      <c r="U39" s="55">
        <v>100</v>
      </c>
      <c r="V39" s="55">
        <v>0</v>
      </c>
      <c r="W39" s="55">
        <v>0</v>
      </c>
      <c r="X39" s="55">
        <v>0</v>
      </c>
      <c r="Y39" s="55">
        <v>0</v>
      </c>
      <c r="Z39" s="55">
        <v>0</v>
      </c>
      <c r="AA39" s="55">
        <v>0</v>
      </c>
      <c r="AB39" s="53">
        <f>SUM(Sheet_1_Table_1_13[[#This Row],[Leadership LS]:[Career Development  CR]])</f>
        <v>100</v>
      </c>
      <c r="AC39" s="97" t="s">
        <v>245</v>
      </c>
      <c r="AD39" s="55" t="s">
        <v>190</v>
      </c>
      <c r="AE39" s="55" t="s">
        <v>142</v>
      </c>
      <c r="AF39" s="55" t="s">
        <v>146</v>
      </c>
      <c r="AG39" s="55" t="s">
        <v>146</v>
      </c>
      <c r="AH39" s="55">
        <v>2.5</v>
      </c>
      <c r="AI39" s="55">
        <v>45</v>
      </c>
      <c r="AJ39" s="62">
        <f>Sheet_1_Table_1_13[[#This Row],[ILP Units Per Session]]*Sheet_1_Table_1_13[[#This Row],[Quota]]</f>
        <v>112.5</v>
      </c>
      <c r="AK39" s="63">
        <v>46338</v>
      </c>
      <c r="AL39" s="64">
        <f>WEEKDAY(Sheet_1_Table_1_13[[#This Row],[Lesson 1 
Date 
(DD-MMM-YYYY)]])</f>
        <v>5</v>
      </c>
      <c r="AM39" s="65">
        <v>0.60416666666666663</v>
      </c>
      <c r="AN39" s="66">
        <v>0.70833333333333337</v>
      </c>
      <c r="AO39" s="67" t="s">
        <v>1104</v>
      </c>
      <c r="AP39" s="68"/>
      <c r="AQ39" s="64">
        <f>WEEKDAY(Sheet_1_Table_1_13[[#This Row],[Lesson 1 
Date 
(DD-MMM-YYYY)]])</f>
        <v>5</v>
      </c>
      <c r="AR39" s="65"/>
      <c r="AS39" s="66"/>
      <c r="AT39" s="126"/>
      <c r="AU39" s="63"/>
      <c r="AV39" s="64">
        <f>WEEKDAY(Sheet_1_Table_1_13[[#This Row],[Lesson 1 
Date 
(DD-MMM-YYYY)]])</f>
        <v>5</v>
      </c>
      <c r="AW39" s="65"/>
      <c r="AX39" s="66"/>
      <c r="AY39" s="126"/>
      <c r="AZ39" s="98"/>
      <c r="BA39" s="64">
        <f>WEEKDAY(Sheet_1_Table_1_13[[#This Row],[Lesson 1 
Date 
(DD-MMM-YYYY)]])</f>
        <v>5</v>
      </c>
      <c r="BB39" s="65"/>
      <c r="BC39" s="66"/>
      <c r="BD39" s="126"/>
      <c r="BE39" s="63"/>
      <c r="BF39" s="64">
        <f>WEEKDAY(Sheet_1_Table_1_13[[#This Row],[Lesson 1 
Date 
(DD-MMM-YYYY)]])</f>
        <v>5</v>
      </c>
      <c r="BG39" s="65"/>
      <c r="BH39" s="66"/>
      <c r="BI39" s="126"/>
      <c r="BJ39" s="98"/>
      <c r="BK39" s="64">
        <f>WEEKDAY(Sheet_1_Table_1_13[[#This Row],[Lesson 1 
Date 
(DD-MMM-YYYY)]])</f>
        <v>5</v>
      </c>
      <c r="BL39" s="65"/>
      <c r="BM39" s="66"/>
      <c r="BN39" s="99"/>
      <c r="BO39" s="54"/>
      <c r="BP39" s="69"/>
      <c r="BQ39" s="55"/>
      <c r="BR39" s="57" t="s">
        <v>1115</v>
      </c>
      <c r="BS39" s="54"/>
      <c r="BT39" s="56"/>
      <c r="BU39" s="56"/>
      <c r="BV39" s="57"/>
      <c r="BW39" s="60">
        <v>0</v>
      </c>
      <c r="BX39" s="71">
        <v>0</v>
      </c>
      <c r="BY39" s="56"/>
      <c r="BZ39" s="56"/>
      <c r="CA39" s="56" t="s">
        <v>911</v>
      </c>
      <c r="CB39" s="72"/>
      <c r="CC39" s="72"/>
      <c r="CD39" s="72"/>
      <c r="CE39" s="56" t="s">
        <v>912</v>
      </c>
      <c r="CF39" s="57" t="s">
        <v>913</v>
      </c>
      <c r="CG39" s="60" t="s">
        <v>914</v>
      </c>
      <c r="CH39" s="71" t="s">
        <v>915</v>
      </c>
      <c r="CI39" s="80" t="s">
        <v>146</v>
      </c>
      <c r="CJ39" s="80" t="s">
        <v>142</v>
      </c>
      <c r="CK39" s="80" t="s">
        <v>142</v>
      </c>
      <c r="CL39" s="80" t="s">
        <v>146</v>
      </c>
      <c r="CM39" s="80" t="s">
        <v>142</v>
      </c>
      <c r="CN39" s="80" t="s">
        <v>142</v>
      </c>
      <c r="CO39" s="80" t="s">
        <v>142</v>
      </c>
      <c r="CP39" s="80" t="s">
        <v>142</v>
      </c>
      <c r="CQ39" s="80" t="s">
        <v>142</v>
      </c>
      <c r="CR39" s="80" t="s">
        <v>142</v>
      </c>
      <c r="CS39" s="80" t="s">
        <v>142</v>
      </c>
      <c r="CT39" s="80" t="s">
        <v>142</v>
      </c>
      <c r="CU39" s="80" t="s">
        <v>142</v>
      </c>
      <c r="CV39" s="80" t="s">
        <v>142</v>
      </c>
      <c r="CW39" s="80" t="s">
        <v>142</v>
      </c>
      <c r="CX39" s="80" t="s">
        <v>142</v>
      </c>
      <c r="CY39" s="80" t="s">
        <v>142</v>
      </c>
      <c r="CZ39" s="85" t="s">
        <v>142</v>
      </c>
      <c r="DA39" s="82" t="s">
        <v>154</v>
      </c>
      <c r="DB39" s="79" t="s">
        <v>155</v>
      </c>
      <c r="DC39" s="79" t="s">
        <v>156</v>
      </c>
      <c r="DD39" s="79" t="s">
        <v>146</v>
      </c>
      <c r="DE39" s="79" t="s">
        <v>157</v>
      </c>
      <c r="DF39" s="79" t="s">
        <v>146</v>
      </c>
      <c r="DG39" s="87"/>
      <c r="DH39" s="87"/>
      <c r="DI39" s="88"/>
      <c r="DJ39" s="89"/>
      <c r="DK39" s="90" t="s">
        <v>146</v>
      </c>
      <c r="DL39" s="90" t="s">
        <v>146</v>
      </c>
      <c r="DM39" s="90" t="s">
        <v>146</v>
      </c>
      <c r="DN39" s="790"/>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s="158" customFormat="1" ht="80.099999999999994" customHeight="1">
      <c r="A40" s="48">
        <v>38</v>
      </c>
      <c r="B40" s="49">
        <v>202609</v>
      </c>
      <c r="C40" s="134"/>
      <c r="D40" s="50" t="s">
        <v>133</v>
      </c>
      <c r="E40" s="135"/>
      <c r="F40" s="54" t="s">
        <v>134</v>
      </c>
      <c r="G40" s="53" t="s">
        <v>1116</v>
      </c>
      <c r="H40" s="136"/>
      <c r="I40" s="137"/>
      <c r="J40" s="138" t="s">
        <v>1117</v>
      </c>
      <c r="K40" s="139" t="s">
        <v>1118</v>
      </c>
      <c r="L40" s="69"/>
      <c r="M40" s="139" t="s">
        <v>1119</v>
      </c>
      <c r="N40" s="140" t="s">
        <v>1120</v>
      </c>
      <c r="O40" s="162" t="s">
        <v>142</v>
      </c>
      <c r="P40" s="163" t="s">
        <v>142</v>
      </c>
      <c r="Q40" s="141" t="s">
        <v>906</v>
      </c>
      <c r="R40" s="61" t="s">
        <v>907</v>
      </c>
      <c r="S40" s="55">
        <v>60</v>
      </c>
      <c r="T40" s="55">
        <v>0</v>
      </c>
      <c r="U40" s="55">
        <v>40</v>
      </c>
      <c r="V40" s="55">
        <v>0</v>
      </c>
      <c r="W40" s="55">
        <v>0</v>
      </c>
      <c r="X40" s="55">
        <v>0</v>
      </c>
      <c r="Y40" s="55">
        <v>0</v>
      </c>
      <c r="Z40" s="55">
        <v>0</v>
      </c>
      <c r="AA40" s="55">
        <v>0</v>
      </c>
      <c r="AB40" s="53">
        <v>100</v>
      </c>
      <c r="AC40" s="97" t="s">
        <v>199</v>
      </c>
      <c r="AD40" s="55" t="s">
        <v>190</v>
      </c>
      <c r="AE40" s="55" t="s">
        <v>142</v>
      </c>
      <c r="AF40" s="55" t="s">
        <v>146</v>
      </c>
      <c r="AG40" s="55" t="s">
        <v>146</v>
      </c>
      <c r="AH40" s="55">
        <v>6</v>
      </c>
      <c r="AI40" s="55">
        <v>30</v>
      </c>
      <c r="AJ40" s="62">
        <v>32</v>
      </c>
      <c r="AK40" s="142" t="s">
        <v>1121</v>
      </c>
      <c r="AL40" s="143" t="e">
        <f>WEEKDAY(Sheet_1_Table_1_13[[#This Row],[Lesson 1 
Date 
(DD-MMM-YYYY)]])</f>
        <v>#VALUE!</v>
      </c>
      <c r="AM40" s="144"/>
      <c r="AN40" s="145"/>
      <c r="AO40" s="146"/>
      <c r="AP40" s="147"/>
      <c r="AQ40" s="143" t="e">
        <f>WEEKDAY(Sheet_1_Table_1_13[[#This Row],[Lesson 1 
Date 
(DD-MMM-YYYY)]])</f>
        <v>#VALUE!</v>
      </c>
      <c r="AR40" s="144"/>
      <c r="AS40" s="145"/>
      <c r="AT40" s="148"/>
      <c r="AU40" s="142"/>
      <c r="AV40" s="143" t="e">
        <f>WEEKDAY(Sheet_1_Table_1_13[[#This Row],[Lesson 1 
Date 
(DD-MMM-YYYY)]])</f>
        <v>#VALUE!</v>
      </c>
      <c r="AW40" s="144"/>
      <c r="AX40" s="145"/>
      <c r="AY40" s="148"/>
      <c r="AZ40" s="149"/>
      <c r="BA40" s="143" t="e">
        <f>WEEKDAY(Sheet_1_Table_1_13[[#This Row],[Lesson 1 
Date 
(DD-MMM-YYYY)]])</f>
        <v>#VALUE!</v>
      </c>
      <c r="BB40" s="144"/>
      <c r="BC40" s="145"/>
      <c r="BD40" s="148"/>
      <c r="BE40" s="142"/>
      <c r="BF40" s="143" t="e">
        <f>WEEKDAY(Sheet_1_Table_1_13[[#This Row],[Lesson 1 
Date 
(DD-MMM-YYYY)]])</f>
        <v>#VALUE!</v>
      </c>
      <c r="BG40" s="144"/>
      <c r="BH40" s="145"/>
      <c r="BI40" s="148"/>
      <c r="BJ40" s="149"/>
      <c r="BK40" s="143" t="e">
        <f>WEEKDAY(Sheet_1_Table_1_13[[#This Row],[Lesson 1 
Date 
(DD-MMM-YYYY)]])</f>
        <v>#VALUE!</v>
      </c>
      <c r="BL40" s="144"/>
      <c r="BM40" s="145"/>
      <c r="BN40" s="150"/>
      <c r="BO40" s="141"/>
      <c r="BP40" s="69"/>
      <c r="BQ40" s="69"/>
      <c r="BR40" s="137" t="s">
        <v>270</v>
      </c>
      <c r="BS40" s="141"/>
      <c r="BT40" s="69"/>
      <c r="BU40" s="69"/>
      <c r="BV40" s="137"/>
      <c r="BW40" s="141"/>
      <c r="BX40" s="151"/>
      <c r="BY40" s="69"/>
      <c r="BZ40" s="69"/>
      <c r="CA40" s="69"/>
      <c r="CB40" s="152"/>
      <c r="CC40" s="152"/>
      <c r="CD40" s="152"/>
      <c r="CE40" s="60" t="s">
        <v>914</v>
      </c>
      <c r="CF40" s="71" t="s">
        <v>915</v>
      </c>
      <c r="CG40" s="141" t="s">
        <v>1122</v>
      </c>
      <c r="CH40" s="153" t="s">
        <v>1123</v>
      </c>
      <c r="CI40" s="152"/>
      <c r="CJ40" s="152"/>
      <c r="CK40" s="152"/>
      <c r="CL40" s="152" t="s">
        <v>146</v>
      </c>
      <c r="CM40" s="152"/>
      <c r="CN40" s="152"/>
      <c r="CO40" s="152"/>
      <c r="CP40" s="152"/>
      <c r="CQ40" s="152"/>
      <c r="CR40" s="152"/>
      <c r="CS40" s="152"/>
      <c r="CT40" s="152"/>
      <c r="CU40" s="152"/>
      <c r="CV40" s="152"/>
      <c r="CW40" s="152"/>
      <c r="CX40" s="152"/>
      <c r="CY40" s="152"/>
      <c r="CZ40" s="154"/>
      <c r="DA40" s="141"/>
      <c r="DB40" s="134"/>
      <c r="DC40" s="134"/>
      <c r="DD40" s="134"/>
      <c r="DE40" s="134"/>
      <c r="DF40" s="134"/>
      <c r="DG40" s="134"/>
      <c r="DH40" s="134"/>
      <c r="DI40" s="155"/>
      <c r="DJ40" s="156"/>
      <c r="DK40" s="90" t="s">
        <v>146</v>
      </c>
      <c r="DL40" s="90" t="s">
        <v>146</v>
      </c>
      <c r="DM40" s="90" t="s">
        <v>146</v>
      </c>
      <c r="DN40" s="833"/>
      <c r="DO40" s="157"/>
      <c r="DP40" s="157"/>
      <c r="DQ40" s="157"/>
      <c r="DR40" s="157"/>
      <c r="DS40" s="157"/>
    </row>
    <row r="41" spans="1:156" ht="105">
      <c r="A41" s="8">
        <v>39</v>
      </c>
      <c r="B41" s="579">
        <v>202609</v>
      </c>
      <c r="C41" s="577" t="s">
        <v>1124</v>
      </c>
      <c r="D41" s="577" t="s">
        <v>133</v>
      </c>
      <c r="E41" s="581">
        <v>5924</v>
      </c>
      <c r="F41" s="576" t="s">
        <v>134</v>
      </c>
      <c r="G41" s="595" t="s">
        <v>712</v>
      </c>
      <c r="H41" s="604" t="s">
        <v>713</v>
      </c>
      <c r="I41" s="605" t="s">
        <v>714</v>
      </c>
      <c r="J41" s="606" t="s">
        <v>1125</v>
      </c>
      <c r="K41" s="607" t="s">
        <v>1126</v>
      </c>
      <c r="L41" s="562"/>
      <c r="M41" s="560" t="s">
        <v>1127</v>
      </c>
      <c r="N41" s="298" t="s">
        <v>1128</v>
      </c>
      <c r="O41" s="561" t="s">
        <v>142</v>
      </c>
      <c r="P41" s="575" t="s">
        <v>142</v>
      </c>
      <c r="Q41" s="558" t="s">
        <v>906</v>
      </c>
      <c r="R41" s="608" t="s">
        <v>907</v>
      </c>
      <c r="S41" s="562">
        <v>0</v>
      </c>
      <c r="T41" s="562">
        <v>0</v>
      </c>
      <c r="U41" s="562">
        <v>100</v>
      </c>
      <c r="V41" s="562">
        <v>0</v>
      </c>
      <c r="W41" s="562">
        <v>0</v>
      </c>
      <c r="X41" s="562">
        <v>0</v>
      </c>
      <c r="Y41" s="562">
        <v>0</v>
      </c>
      <c r="Z41" s="562">
        <v>0</v>
      </c>
      <c r="AA41" s="562">
        <v>0</v>
      </c>
      <c r="AB41" s="609">
        <v>100</v>
      </c>
      <c r="AC41" s="295" t="s">
        <v>734</v>
      </c>
      <c r="AD41" s="562" t="s">
        <v>190</v>
      </c>
      <c r="AE41" s="562" t="s">
        <v>142</v>
      </c>
      <c r="AF41" s="562" t="s">
        <v>146</v>
      </c>
      <c r="AG41" s="562" t="s">
        <v>142</v>
      </c>
      <c r="AH41" s="562">
        <v>2</v>
      </c>
      <c r="AI41" s="562">
        <v>10</v>
      </c>
      <c r="AJ41" s="610">
        <v>20</v>
      </c>
      <c r="AK41" s="781">
        <v>46288</v>
      </c>
      <c r="AL41" s="586">
        <f>WEEKDAY(Sheet_1_Table_1_13[[#This Row],[Lesson 1 
Date 
(DD-MMM-YYYY)]])</f>
        <v>4</v>
      </c>
      <c r="AM41" s="761">
        <v>0.625</v>
      </c>
      <c r="AN41" s="611">
        <v>0.66666666666666663</v>
      </c>
      <c r="AO41" s="612" t="s">
        <v>1129</v>
      </c>
      <c r="AP41" s="585">
        <v>46295</v>
      </c>
      <c r="AQ41" s="586">
        <f>WEEKDAY(Sheet_1_Table_1_13[[#This Row],[Lesson 2
Date 
(DD-MMM-YYYY)]])</f>
        <v>4</v>
      </c>
      <c r="AR41" s="565">
        <v>0.625</v>
      </c>
      <c r="AS41" s="583">
        <v>0.66666666666666663</v>
      </c>
      <c r="AT41" s="584" t="s">
        <v>1129</v>
      </c>
      <c r="AU41" s="582"/>
      <c r="AV41" s="586">
        <v>7</v>
      </c>
      <c r="AW41" s="565"/>
      <c r="AX41" s="583"/>
      <c r="AY41" s="584"/>
      <c r="AZ41" s="587"/>
      <c r="BA41" s="586">
        <v>7</v>
      </c>
      <c r="BB41" s="565"/>
      <c r="BC41" s="583"/>
      <c r="BD41" s="584"/>
      <c r="BE41" s="613"/>
      <c r="BF41" s="586">
        <v>7</v>
      </c>
      <c r="BG41" s="614"/>
      <c r="BH41" s="583"/>
      <c r="BI41" s="584"/>
      <c r="BJ41" s="587"/>
      <c r="BK41" s="586">
        <v>7</v>
      </c>
      <c r="BL41" s="565"/>
      <c r="BM41" s="583"/>
      <c r="BN41" s="588"/>
      <c r="BO41" s="576" t="s">
        <v>293</v>
      </c>
      <c r="BP41" s="559" t="s">
        <v>1130</v>
      </c>
      <c r="BQ41" s="562" t="s">
        <v>1131</v>
      </c>
      <c r="BR41" s="298"/>
      <c r="BS41" s="576"/>
      <c r="BT41" s="560"/>
      <c r="BU41" s="560"/>
      <c r="BV41" s="298"/>
      <c r="BW41" s="558"/>
      <c r="BX41" s="615"/>
      <c r="BY41" s="560" t="s">
        <v>149</v>
      </c>
      <c r="BZ41" s="560"/>
      <c r="CA41" s="560" t="s">
        <v>149</v>
      </c>
      <c r="CB41" s="590"/>
      <c r="CC41" s="590"/>
      <c r="CD41" s="590"/>
      <c r="CE41" s="558" t="s">
        <v>737</v>
      </c>
      <c r="CF41" s="572" t="s">
        <v>738</v>
      </c>
      <c r="CG41" s="560" t="s">
        <v>723</v>
      </c>
      <c r="CH41" s="616" t="s">
        <v>724</v>
      </c>
      <c r="CI41" s="562" t="s">
        <v>142</v>
      </c>
      <c r="CJ41" s="562" t="s">
        <v>142</v>
      </c>
      <c r="CK41" s="562" t="s">
        <v>142</v>
      </c>
      <c r="CL41" s="562" t="s">
        <v>146</v>
      </c>
      <c r="CM41" s="562" t="s">
        <v>146</v>
      </c>
      <c r="CN41" s="562" t="s">
        <v>142</v>
      </c>
      <c r="CO41" s="562" t="s">
        <v>142</v>
      </c>
      <c r="CP41" s="562" t="s">
        <v>142</v>
      </c>
      <c r="CQ41" s="562" t="s">
        <v>142</v>
      </c>
      <c r="CR41" s="562" t="s">
        <v>142</v>
      </c>
      <c r="CS41" s="562" t="s">
        <v>142</v>
      </c>
      <c r="CT41" s="562" t="s">
        <v>142</v>
      </c>
      <c r="CU41" s="562" t="s">
        <v>142</v>
      </c>
      <c r="CV41" s="562" t="s">
        <v>142</v>
      </c>
      <c r="CW41" s="562" t="s">
        <v>142</v>
      </c>
      <c r="CX41" s="562" t="s">
        <v>142</v>
      </c>
      <c r="CY41" s="562" t="s">
        <v>142</v>
      </c>
      <c r="CZ41" s="575" t="s">
        <v>142</v>
      </c>
      <c r="DA41" s="576" t="s">
        <v>154</v>
      </c>
      <c r="DB41" s="577" t="s">
        <v>155</v>
      </c>
      <c r="DC41" s="577" t="s">
        <v>156</v>
      </c>
      <c r="DD41" s="577" t="s">
        <v>146</v>
      </c>
      <c r="DE41" s="577" t="s">
        <v>157</v>
      </c>
      <c r="DF41" s="577" t="s">
        <v>146</v>
      </c>
      <c r="DG41" s="578" t="s">
        <v>142</v>
      </c>
      <c r="DH41" s="578" t="s">
        <v>142</v>
      </c>
      <c r="DI41" s="578" t="s">
        <v>142</v>
      </c>
      <c r="DJ41" s="578" t="s">
        <v>142</v>
      </c>
      <c r="DK41" s="617" t="s">
        <v>146</v>
      </c>
      <c r="DL41" s="617" t="s">
        <v>146</v>
      </c>
      <c r="DM41" s="617" t="s">
        <v>146</v>
      </c>
      <c r="DN41" s="790"/>
    </row>
    <row r="42" spans="1:156" ht="165">
      <c r="A42" s="8">
        <v>40</v>
      </c>
      <c r="B42" s="579">
        <v>202609</v>
      </c>
      <c r="C42" s="577" t="s">
        <v>1132</v>
      </c>
      <c r="D42" s="577" t="s">
        <v>133</v>
      </c>
      <c r="E42" s="581">
        <v>5926</v>
      </c>
      <c r="F42" s="576" t="s">
        <v>134</v>
      </c>
      <c r="G42" s="595" t="s">
        <v>712</v>
      </c>
      <c r="H42" s="604" t="s">
        <v>713</v>
      </c>
      <c r="I42" s="605" t="s">
        <v>714</v>
      </c>
      <c r="J42" s="606" t="s">
        <v>1133</v>
      </c>
      <c r="K42" s="607" t="s">
        <v>1134</v>
      </c>
      <c r="L42" s="562"/>
      <c r="M42" s="560" t="s">
        <v>1135</v>
      </c>
      <c r="N42" s="298" t="s">
        <v>1136</v>
      </c>
      <c r="O42" s="561" t="s">
        <v>142</v>
      </c>
      <c r="P42" s="575" t="s">
        <v>142</v>
      </c>
      <c r="Q42" s="558" t="s">
        <v>906</v>
      </c>
      <c r="R42" s="608" t="s">
        <v>907</v>
      </c>
      <c r="S42" s="562">
        <v>0</v>
      </c>
      <c r="T42" s="562">
        <v>0</v>
      </c>
      <c r="U42" s="562">
        <v>100</v>
      </c>
      <c r="V42" s="562">
        <v>0</v>
      </c>
      <c r="W42" s="562">
        <v>0</v>
      </c>
      <c r="X42" s="562">
        <v>0</v>
      </c>
      <c r="Y42" s="562">
        <v>0</v>
      </c>
      <c r="Z42" s="562">
        <v>0</v>
      </c>
      <c r="AA42" s="562">
        <v>0</v>
      </c>
      <c r="AB42" s="609">
        <v>100</v>
      </c>
      <c r="AC42" s="295" t="s">
        <v>199</v>
      </c>
      <c r="AD42" s="562" t="s">
        <v>190</v>
      </c>
      <c r="AE42" s="562" t="s">
        <v>142</v>
      </c>
      <c r="AF42" s="562" t="s">
        <v>146</v>
      </c>
      <c r="AG42" s="562" t="s">
        <v>142</v>
      </c>
      <c r="AH42" s="562">
        <v>2</v>
      </c>
      <c r="AI42" s="562">
        <v>20</v>
      </c>
      <c r="AJ42" s="610">
        <v>40</v>
      </c>
      <c r="AK42" s="782">
        <v>46295</v>
      </c>
      <c r="AL42" s="586">
        <f>WEEKDAY(Sheet_1_Table_1_13[[#This Row],[Lesson 1 
Date 
(DD-MMM-YYYY)]])</f>
        <v>4</v>
      </c>
      <c r="AM42" s="761">
        <v>0.41666666666666669</v>
      </c>
      <c r="AN42" s="611">
        <v>0.5</v>
      </c>
      <c r="AO42" s="612" t="s">
        <v>1129</v>
      </c>
      <c r="AP42" s="585"/>
      <c r="AQ42" s="586">
        <v>7</v>
      </c>
      <c r="AR42" s="565"/>
      <c r="AS42" s="583"/>
      <c r="AT42" s="584"/>
      <c r="AU42" s="582"/>
      <c r="AV42" s="586">
        <v>7</v>
      </c>
      <c r="AW42" s="565"/>
      <c r="AX42" s="583"/>
      <c r="AY42" s="584"/>
      <c r="AZ42" s="587"/>
      <c r="BA42" s="586">
        <v>7</v>
      </c>
      <c r="BB42" s="565"/>
      <c r="BC42" s="583"/>
      <c r="BD42" s="584"/>
      <c r="BE42" s="613"/>
      <c r="BF42" s="586">
        <v>7</v>
      </c>
      <c r="BG42" s="614"/>
      <c r="BH42" s="583"/>
      <c r="BI42" s="584"/>
      <c r="BJ42" s="587"/>
      <c r="BK42" s="586">
        <v>7</v>
      </c>
      <c r="BL42" s="565"/>
      <c r="BM42" s="583"/>
      <c r="BN42" s="588"/>
      <c r="BO42" s="576"/>
      <c r="BP42" s="559"/>
      <c r="BQ42" s="562"/>
      <c r="BR42" s="298" t="s">
        <v>1137</v>
      </c>
      <c r="BS42" s="576"/>
      <c r="BT42" s="560"/>
      <c r="BU42" s="560"/>
      <c r="BV42" s="298"/>
      <c r="BW42" s="558"/>
      <c r="BX42" s="615"/>
      <c r="BY42" s="560"/>
      <c r="BZ42" s="560"/>
      <c r="CA42" s="560"/>
      <c r="CB42" s="590"/>
      <c r="CC42" s="590"/>
      <c r="CD42" s="590"/>
      <c r="CE42" s="558" t="s">
        <v>737</v>
      </c>
      <c r="CF42" s="572" t="s">
        <v>738</v>
      </c>
      <c r="CG42" s="560" t="s">
        <v>723</v>
      </c>
      <c r="CH42" s="616" t="s">
        <v>724</v>
      </c>
      <c r="CI42" s="562" t="s">
        <v>142</v>
      </c>
      <c r="CJ42" s="562" t="s">
        <v>142</v>
      </c>
      <c r="CK42" s="562" t="s">
        <v>142</v>
      </c>
      <c r="CL42" s="562" t="s">
        <v>146</v>
      </c>
      <c r="CM42" s="562" t="s">
        <v>146</v>
      </c>
      <c r="CN42" s="562" t="s">
        <v>142</v>
      </c>
      <c r="CO42" s="562" t="s">
        <v>142</v>
      </c>
      <c r="CP42" s="562" t="s">
        <v>142</v>
      </c>
      <c r="CQ42" s="562" t="s">
        <v>142</v>
      </c>
      <c r="CR42" s="562" t="s">
        <v>142</v>
      </c>
      <c r="CS42" s="562" t="s">
        <v>146</v>
      </c>
      <c r="CT42" s="562" t="s">
        <v>142</v>
      </c>
      <c r="CU42" s="562" t="s">
        <v>142</v>
      </c>
      <c r="CV42" s="562" t="s">
        <v>142</v>
      </c>
      <c r="CW42" s="562" t="s">
        <v>142</v>
      </c>
      <c r="CX42" s="562" t="s">
        <v>142</v>
      </c>
      <c r="CY42" s="562" t="s">
        <v>142</v>
      </c>
      <c r="CZ42" s="575" t="s">
        <v>142</v>
      </c>
      <c r="DA42" s="576" t="s">
        <v>154</v>
      </c>
      <c r="DB42" s="577" t="s">
        <v>155</v>
      </c>
      <c r="DC42" s="577" t="s">
        <v>156</v>
      </c>
      <c r="DD42" s="577" t="s">
        <v>146</v>
      </c>
      <c r="DE42" s="577" t="s">
        <v>157</v>
      </c>
      <c r="DF42" s="577" t="s">
        <v>146</v>
      </c>
      <c r="DG42" s="578" t="s">
        <v>142</v>
      </c>
      <c r="DH42" s="578" t="s">
        <v>146</v>
      </c>
      <c r="DI42" s="578" t="s">
        <v>142</v>
      </c>
      <c r="DJ42" s="578" t="s">
        <v>142</v>
      </c>
      <c r="DK42" s="617"/>
      <c r="DL42" s="617"/>
      <c r="DM42" s="617"/>
      <c r="DN42" s="790"/>
    </row>
    <row r="43" spans="1:156" ht="150">
      <c r="A43" s="8">
        <v>41</v>
      </c>
      <c r="B43" s="579">
        <v>202609</v>
      </c>
      <c r="C43" s="577" t="s">
        <v>1138</v>
      </c>
      <c r="D43" s="577" t="s">
        <v>133</v>
      </c>
      <c r="E43" s="581">
        <v>5931</v>
      </c>
      <c r="F43" s="576" t="s">
        <v>134</v>
      </c>
      <c r="G43" s="595" t="s">
        <v>712</v>
      </c>
      <c r="H43" s="604" t="s">
        <v>728</v>
      </c>
      <c r="I43" s="605" t="s">
        <v>729</v>
      </c>
      <c r="J43" s="606" t="s">
        <v>1139</v>
      </c>
      <c r="K43" s="607" t="s">
        <v>1140</v>
      </c>
      <c r="L43" s="562"/>
      <c r="M43" s="560" t="s">
        <v>1141</v>
      </c>
      <c r="N43" s="298" t="s">
        <v>1142</v>
      </c>
      <c r="O43" s="561" t="s">
        <v>142</v>
      </c>
      <c r="P43" s="575" t="s">
        <v>142</v>
      </c>
      <c r="Q43" s="558" t="s">
        <v>906</v>
      </c>
      <c r="R43" s="608" t="s">
        <v>907</v>
      </c>
      <c r="S43" s="562">
        <v>0</v>
      </c>
      <c r="T43" s="562">
        <v>0</v>
      </c>
      <c r="U43" s="562">
        <v>100</v>
      </c>
      <c r="V43" s="562">
        <v>0</v>
      </c>
      <c r="W43" s="562">
        <v>0</v>
      </c>
      <c r="X43" s="562">
        <v>0</v>
      </c>
      <c r="Y43" s="562">
        <v>0</v>
      </c>
      <c r="Z43" s="562">
        <v>0</v>
      </c>
      <c r="AA43" s="562">
        <v>0</v>
      </c>
      <c r="AB43" s="609">
        <v>100</v>
      </c>
      <c r="AC43" s="295" t="s">
        <v>199</v>
      </c>
      <c r="AD43" s="562" t="s">
        <v>190</v>
      </c>
      <c r="AE43" s="562" t="s">
        <v>142</v>
      </c>
      <c r="AF43" s="562" t="s">
        <v>146</v>
      </c>
      <c r="AG43" s="562" t="s">
        <v>142</v>
      </c>
      <c r="AH43" s="562">
        <v>2</v>
      </c>
      <c r="AI43" s="562">
        <v>12</v>
      </c>
      <c r="AJ43" s="610">
        <v>24</v>
      </c>
      <c r="AK43" s="781">
        <v>46308</v>
      </c>
      <c r="AL43" s="586">
        <f>WEEKDAY(Sheet_1_Table_1_13[[#This Row],[Lesson 1 
Date 
(DD-MMM-YYYY)]])</f>
        <v>3</v>
      </c>
      <c r="AM43" s="761">
        <v>0.60416666666666663</v>
      </c>
      <c r="AN43" s="611">
        <v>0.6875</v>
      </c>
      <c r="AO43" s="612" t="s">
        <v>1129</v>
      </c>
      <c r="AP43" s="585"/>
      <c r="AQ43" s="586">
        <v>7</v>
      </c>
      <c r="AR43" s="565"/>
      <c r="AS43" s="583"/>
      <c r="AT43" s="584"/>
      <c r="AU43" s="582"/>
      <c r="AV43" s="586">
        <v>7</v>
      </c>
      <c r="AW43" s="565"/>
      <c r="AX43" s="583"/>
      <c r="AY43" s="584"/>
      <c r="AZ43" s="587"/>
      <c r="BA43" s="586">
        <v>7</v>
      </c>
      <c r="BB43" s="565"/>
      <c r="BC43" s="583"/>
      <c r="BD43" s="584"/>
      <c r="BE43" s="613"/>
      <c r="BF43" s="586">
        <v>7</v>
      </c>
      <c r="BG43" s="614"/>
      <c r="BH43" s="583"/>
      <c r="BI43" s="584"/>
      <c r="BJ43" s="587"/>
      <c r="BK43" s="586">
        <v>7</v>
      </c>
      <c r="BL43" s="565"/>
      <c r="BM43" s="583"/>
      <c r="BN43" s="588"/>
      <c r="BO43" s="576"/>
      <c r="BP43" s="559"/>
      <c r="BQ43" s="562"/>
      <c r="BR43" s="298" t="s">
        <v>1143</v>
      </c>
      <c r="BS43" s="576"/>
      <c r="BT43" s="560"/>
      <c r="BU43" s="560"/>
      <c r="BV43" s="298"/>
      <c r="BW43" s="558"/>
      <c r="BX43" s="615"/>
      <c r="BY43" s="560"/>
      <c r="BZ43" s="560"/>
      <c r="CA43" s="560"/>
      <c r="CB43" s="590"/>
      <c r="CC43" s="590"/>
      <c r="CD43" s="590"/>
      <c r="CE43" s="558" t="s">
        <v>723</v>
      </c>
      <c r="CF43" s="572" t="s">
        <v>724</v>
      </c>
      <c r="CG43" s="560" t="s">
        <v>725</v>
      </c>
      <c r="CH43" s="616" t="s">
        <v>726</v>
      </c>
      <c r="CI43" s="562" t="s">
        <v>142</v>
      </c>
      <c r="CJ43" s="562" t="s">
        <v>142</v>
      </c>
      <c r="CK43" s="562" t="s">
        <v>142</v>
      </c>
      <c r="CL43" s="562" t="s">
        <v>146</v>
      </c>
      <c r="CM43" s="562" t="s">
        <v>142</v>
      </c>
      <c r="CN43" s="562" t="s">
        <v>142</v>
      </c>
      <c r="CO43" s="562" t="s">
        <v>142</v>
      </c>
      <c r="CP43" s="562" t="s">
        <v>142</v>
      </c>
      <c r="CQ43" s="562" t="s">
        <v>142</v>
      </c>
      <c r="CR43" s="562" t="s">
        <v>142</v>
      </c>
      <c r="CS43" s="562" t="s">
        <v>142</v>
      </c>
      <c r="CT43" s="562" t="s">
        <v>142</v>
      </c>
      <c r="CU43" s="562" t="s">
        <v>142</v>
      </c>
      <c r="CV43" s="562" t="s">
        <v>142</v>
      </c>
      <c r="CW43" s="562" t="s">
        <v>142</v>
      </c>
      <c r="CX43" s="562" t="s">
        <v>142</v>
      </c>
      <c r="CY43" s="562" t="s">
        <v>142</v>
      </c>
      <c r="CZ43" s="575" t="s">
        <v>142</v>
      </c>
      <c r="DA43" s="576" t="s">
        <v>154</v>
      </c>
      <c r="DB43" s="577" t="s">
        <v>155</v>
      </c>
      <c r="DC43" s="577" t="s">
        <v>156</v>
      </c>
      <c r="DD43" s="577" t="s">
        <v>146</v>
      </c>
      <c r="DE43" s="577" t="s">
        <v>157</v>
      </c>
      <c r="DF43" s="577" t="s">
        <v>146</v>
      </c>
      <c r="DG43" s="578" t="s">
        <v>142</v>
      </c>
      <c r="DH43" s="578" t="s">
        <v>142</v>
      </c>
      <c r="DI43" s="578" t="s">
        <v>142</v>
      </c>
      <c r="DJ43" s="578" t="s">
        <v>142</v>
      </c>
      <c r="DK43" s="618" t="s">
        <v>146</v>
      </c>
      <c r="DL43" s="618" t="s">
        <v>146</v>
      </c>
      <c r="DM43" s="618" t="s">
        <v>146</v>
      </c>
      <c r="DN43" s="790"/>
    </row>
    <row r="44" spans="1:156" ht="150">
      <c r="A44" s="8">
        <v>42</v>
      </c>
      <c r="B44" s="579">
        <v>202609</v>
      </c>
      <c r="C44" s="577" t="s">
        <v>1144</v>
      </c>
      <c r="D44" s="577" t="s">
        <v>133</v>
      </c>
      <c r="E44" s="581">
        <v>5935</v>
      </c>
      <c r="F44" s="576" t="s">
        <v>134</v>
      </c>
      <c r="G44" s="595" t="s">
        <v>712</v>
      </c>
      <c r="H44" s="604" t="s">
        <v>728</v>
      </c>
      <c r="I44" s="605" t="s">
        <v>729</v>
      </c>
      <c r="J44" s="606" t="s">
        <v>1145</v>
      </c>
      <c r="K44" s="607" t="s">
        <v>1146</v>
      </c>
      <c r="L44" s="562"/>
      <c r="M44" s="560" t="s">
        <v>1147</v>
      </c>
      <c r="N44" s="298" t="s">
        <v>1148</v>
      </c>
      <c r="O44" s="561" t="s">
        <v>142</v>
      </c>
      <c r="P44" s="575" t="s">
        <v>142</v>
      </c>
      <c r="Q44" s="558" t="s">
        <v>906</v>
      </c>
      <c r="R44" s="608" t="s">
        <v>907</v>
      </c>
      <c r="S44" s="562">
        <v>0</v>
      </c>
      <c r="T44" s="562">
        <v>0</v>
      </c>
      <c r="U44" s="562">
        <v>100</v>
      </c>
      <c r="V44" s="562"/>
      <c r="W44" s="562">
        <v>0</v>
      </c>
      <c r="X44" s="562">
        <v>0</v>
      </c>
      <c r="Y44" s="562">
        <v>0</v>
      </c>
      <c r="Z44" s="562">
        <v>0</v>
      </c>
      <c r="AA44" s="562">
        <v>0</v>
      </c>
      <c r="AB44" s="609">
        <v>100</v>
      </c>
      <c r="AC44" s="295" t="s">
        <v>199</v>
      </c>
      <c r="AD44" s="562" t="s">
        <v>190</v>
      </c>
      <c r="AE44" s="562" t="s">
        <v>142</v>
      </c>
      <c r="AF44" s="562" t="s">
        <v>146</v>
      </c>
      <c r="AG44" s="562" t="s">
        <v>142</v>
      </c>
      <c r="AH44" s="562">
        <v>1.5</v>
      </c>
      <c r="AI44" s="562">
        <v>20</v>
      </c>
      <c r="AJ44" s="610">
        <v>30</v>
      </c>
      <c r="AK44" s="781">
        <v>46329</v>
      </c>
      <c r="AL44" s="586">
        <f>WEEKDAY(Sheet_1_Table_1_13[[#This Row],[Lesson 1 
Date 
(DD-MMM-YYYY)]])</f>
        <v>3</v>
      </c>
      <c r="AM44" s="761">
        <v>0.625</v>
      </c>
      <c r="AN44" s="611">
        <v>0.6875</v>
      </c>
      <c r="AO44" s="612" t="s">
        <v>1129</v>
      </c>
      <c r="AP44" s="585"/>
      <c r="AQ44" s="586">
        <v>7</v>
      </c>
      <c r="AR44" s="565"/>
      <c r="AS44" s="583"/>
      <c r="AT44" s="584"/>
      <c r="AU44" s="582"/>
      <c r="AV44" s="586">
        <v>7</v>
      </c>
      <c r="AW44" s="565"/>
      <c r="AX44" s="583"/>
      <c r="AY44" s="584"/>
      <c r="AZ44" s="587"/>
      <c r="BA44" s="586">
        <v>7</v>
      </c>
      <c r="BB44" s="565"/>
      <c r="BC44" s="583"/>
      <c r="BD44" s="584"/>
      <c r="BE44" s="613"/>
      <c r="BF44" s="586">
        <v>7</v>
      </c>
      <c r="BG44" s="614"/>
      <c r="BH44" s="583"/>
      <c r="BI44" s="584"/>
      <c r="BJ44" s="587"/>
      <c r="BK44" s="586">
        <v>7</v>
      </c>
      <c r="BL44" s="565"/>
      <c r="BM44" s="583"/>
      <c r="BN44" s="588"/>
      <c r="BO44" s="576" t="s">
        <v>293</v>
      </c>
      <c r="BP44" s="559" t="s">
        <v>1149</v>
      </c>
      <c r="BQ44" s="562" t="s">
        <v>940</v>
      </c>
      <c r="BR44" s="298" t="s">
        <v>1150</v>
      </c>
      <c r="BS44" s="576"/>
      <c r="BT44" s="560"/>
      <c r="BU44" s="560"/>
      <c r="BV44" s="298"/>
      <c r="BW44" s="558"/>
      <c r="BX44" s="615"/>
      <c r="BY44" s="560" t="s">
        <v>149</v>
      </c>
      <c r="BZ44" s="560"/>
      <c r="CA44" s="560" t="s">
        <v>149</v>
      </c>
      <c r="CB44" s="590"/>
      <c r="CC44" s="590"/>
      <c r="CD44" s="590"/>
      <c r="CE44" s="558" t="s">
        <v>737</v>
      </c>
      <c r="CF44" s="572" t="s">
        <v>738</v>
      </c>
      <c r="CG44" s="560" t="s">
        <v>723</v>
      </c>
      <c r="CH44" s="616" t="s">
        <v>724</v>
      </c>
      <c r="CI44" s="562" t="s">
        <v>142</v>
      </c>
      <c r="CJ44" s="562" t="s">
        <v>142</v>
      </c>
      <c r="CK44" s="562" t="s">
        <v>142</v>
      </c>
      <c r="CL44" s="562" t="s">
        <v>146</v>
      </c>
      <c r="CM44" s="562" t="s">
        <v>146</v>
      </c>
      <c r="CN44" s="562" t="s">
        <v>142</v>
      </c>
      <c r="CO44" s="562" t="s">
        <v>142</v>
      </c>
      <c r="CP44" s="562" t="s">
        <v>142</v>
      </c>
      <c r="CQ44" s="562" t="s">
        <v>142</v>
      </c>
      <c r="CR44" s="562" t="s">
        <v>142</v>
      </c>
      <c r="CS44" s="562" t="s">
        <v>146</v>
      </c>
      <c r="CT44" s="562" t="s">
        <v>142</v>
      </c>
      <c r="CU44" s="562" t="s">
        <v>142</v>
      </c>
      <c r="CV44" s="562" t="s">
        <v>142</v>
      </c>
      <c r="CW44" s="562" t="s">
        <v>142</v>
      </c>
      <c r="CX44" s="562" t="s">
        <v>142</v>
      </c>
      <c r="CY44" s="562" t="s">
        <v>142</v>
      </c>
      <c r="CZ44" s="575" t="s">
        <v>142</v>
      </c>
      <c r="DA44" s="576" t="s">
        <v>154</v>
      </c>
      <c r="DB44" s="577" t="s">
        <v>155</v>
      </c>
      <c r="DC44" s="577" t="s">
        <v>156</v>
      </c>
      <c r="DD44" s="577" t="s">
        <v>146</v>
      </c>
      <c r="DE44" s="577" t="s">
        <v>157</v>
      </c>
      <c r="DF44" s="577" t="s">
        <v>146</v>
      </c>
      <c r="DG44" s="578" t="s">
        <v>142</v>
      </c>
      <c r="DH44" s="578" t="s">
        <v>142</v>
      </c>
      <c r="DI44" s="578" t="s">
        <v>142</v>
      </c>
      <c r="DJ44" s="578" t="s">
        <v>142</v>
      </c>
      <c r="DK44" s="618" t="s">
        <v>146</v>
      </c>
      <c r="DL44" s="618" t="s">
        <v>146</v>
      </c>
      <c r="DM44" s="618" t="s">
        <v>146</v>
      </c>
      <c r="DN44" s="790"/>
    </row>
    <row r="45" spans="1:156" ht="195">
      <c r="A45" s="8">
        <v>43</v>
      </c>
      <c r="B45" s="49">
        <v>202609</v>
      </c>
      <c r="C45" s="50" t="s">
        <v>1151</v>
      </c>
      <c r="D45" s="50" t="s">
        <v>174</v>
      </c>
      <c r="E45" s="51">
        <v>5792</v>
      </c>
      <c r="F45" s="54" t="s">
        <v>772</v>
      </c>
      <c r="G45" s="53"/>
      <c r="H45" s="95"/>
      <c r="I45" s="81"/>
      <c r="J45" s="54" t="s">
        <v>1152</v>
      </c>
      <c r="K45" s="55" t="s">
        <v>1153</v>
      </c>
      <c r="L45" s="55"/>
      <c r="M45" s="56" t="s">
        <v>1154</v>
      </c>
      <c r="N45" s="57" t="s">
        <v>1155</v>
      </c>
      <c r="O45" s="114" t="s">
        <v>146</v>
      </c>
      <c r="P45" s="96" t="s">
        <v>146</v>
      </c>
      <c r="Q45" s="60" t="s">
        <v>906</v>
      </c>
      <c r="R45" s="608" t="s">
        <v>907</v>
      </c>
      <c r="S45" s="55">
        <v>0</v>
      </c>
      <c r="T45" s="55">
        <v>0</v>
      </c>
      <c r="U45" s="55">
        <v>60</v>
      </c>
      <c r="V45" s="55">
        <v>40</v>
      </c>
      <c r="W45" s="55">
        <v>0</v>
      </c>
      <c r="X45" s="55">
        <v>0</v>
      </c>
      <c r="Y45" s="55">
        <v>0</v>
      </c>
      <c r="Z45" s="55">
        <v>0</v>
      </c>
      <c r="AA45" s="55">
        <v>0</v>
      </c>
      <c r="AB45" s="609">
        <v>100</v>
      </c>
      <c r="AC45" s="97" t="s">
        <v>199</v>
      </c>
      <c r="AD45" s="55" t="s">
        <v>190</v>
      </c>
      <c r="AE45" s="55" t="s">
        <v>146</v>
      </c>
      <c r="AF45" s="55" t="s">
        <v>146</v>
      </c>
      <c r="AG45" s="55" t="s">
        <v>142</v>
      </c>
      <c r="AH45" s="55">
        <v>2</v>
      </c>
      <c r="AI45" s="55">
        <v>20</v>
      </c>
      <c r="AJ45" s="62">
        <f>SUM(Sheet_1_Table_1_13[[#This Row],[ILP Units Per Session]]*Sheet_1_Table_1_13[[#This Row],[Quota]])</f>
        <v>40</v>
      </c>
      <c r="AK45" s="781">
        <v>46304</v>
      </c>
      <c r="AL45" s="64" t="e">
        <f>WEEKDAY([2]!Sheet_1_Table_1_13[[#This Row],[Lesson 1 
Date 
(DD-MMM-YYYY)]])</f>
        <v>#REF!</v>
      </c>
      <c r="AM45" s="552">
        <v>0.66666666666666663</v>
      </c>
      <c r="AN45" s="553">
        <v>0.75</v>
      </c>
      <c r="AO45" s="707" t="s">
        <v>1156</v>
      </c>
      <c r="AP45" s="555"/>
      <c r="AQ45" s="64" t="e">
        <f>WEEKDAY([2]!Sheet_1_Table_1_13[[#This Row],[Lesson 2
Date 
(DD-MMM-YYYY)]])</f>
        <v>#REF!</v>
      </c>
      <c r="AR45" s="65"/>
      <c r="AS45" s="66"/>
      <c r="AT45" s="126"/>
      <c r="AU45" s="63"/>
      <c r="AV45" s="64" t="e">
        <f>WEEKDAY([2]!Sheet_1_Table_1_13[[#This Row],[Lesson 3
Date 
(DD-MMM-YYYY)]])</f>
        <v>#REF!</v>
      </c>
      <c r="AW45" s="65"/>
      <c r="AX45" s="66"/>
      <c r="AY45" s="126"/>
      <c r="AZ45" s="98"/>
      <c r="BA45" s="64" t="e">
        <f>WEEKDAY([2]!Sheet_1_Table_1_13[[#This Row],[Lesson 4
Date 
(DD-MMM-YYYY)]])</f>
        <v>#REF!</v>
      </c>
      <c r="BB45" s="65"/>
      <c r="BC45" s="66"/>
      <c r="BD45" s="126"/>
      <c r="BE45" s="116"/>
      <c r="BF45" s="64" t="e">
        <f>WEEKDAY([2]!Sheet_1_Table_1_13[[#This Row],[Lesson 5
Date 
(DD-MMM-YYYY)]])</f>
        <v>#REF!</v>
      </c>
      <c r="BG45" s="117"/>
      <c r="BH45" s="66"/>
      <c r="BI45" s="126"/>
      <c r="BJ45" s="98"/>
      <c r="BK45" s="64" t="e">
        <f>WEEKDAY([2]!Sheet_1_Table_1_13[[#This Row],[Lesson 6
Date 
(DD-MMM-YYYY)]])</f>
        <v>#REF!</v>
      </c>
      <c r="BL45" s="65"/>
      <c r="BM45" s="66"/>
      <c r="BN45" s="99"/>
      <c r="BO45" s="54" t="s">
        <v>293</v>
      </c>
      <c r="BP45" s="69" t="s">
        <v>1157</v>
      </c>
      <c r="BQ45" s="55" t="s">
        <v>490</v>
      </c>
      <c r="BR45" s="57" t="s">
        <v>1066</v>
      </c>
      <c r="BS45" s="54"/>
      <c r="BT45" s="56"/>
      <c r="BU45" s="56"/>
      <c r="BV45" s="57"/>
      <c r="BW45" s="60">
        <v>0</v>
      </c>
      <c r="BX45" s="187"/>
      <c r="BY45" s="56" t="s">
        <v>1158</v>
      </c>
      <c r="BZ45" s="56"/>
      <c r="CA45" s="56" t="s">
        <v>1159</v>
      </c>
      <c r="CB45" s="72"/>
      <c r="CC45" s="72"/>
      <c r="CD45" s="72"/>
      <c r="CE45" s="60" t="s">
        <v>779</v>
      </c>
      <c r="CF45" s="507" t="s">
        <v>780</v>
      </c>
      <c r="CG45" s="56" t="s">
        <v>781</v>
      </c>
      <c r="CH45" s="603" t="s">
        <v>782</v>
      </c>
      <c r="CI45" s="55" t="s">
        <v>146</v>
      </c>
      <c r="CJ45" s="55" t="s">
        <v>142</v>
      </c>
      <c r="CK45" s="55" t="s">
        <v>142</v>
      </c>
      <c r="CL45" s="55" t="s">
        <v>146</v>
      </c>
      <c r="CM45" s="55" t="s">
        <v>142</v>
      </c>
      <c r="CN45" s="55" t="s">
        <v>142</v>
      </c>
      <c r="CO45" s="55" t="s">
        <v>142</v>
      </c>
      <c r="CP45" s="55" t="s">
        <v>142</v>
      </c>
      <c r="CQ45" s="55" t="s">
        <v>142</v>
      </c>
      <c r="CR45" s="55" t="s">
        <v>142</v>
      </c>
      <c r="CS45" s="55" t="s">
        <v>142</v>
      </c>
      <c r="CT45" s="55" t="s">
        <v>142</v>
      </c>
      <c r="CU45" s="55" t="s">
        <v>142</v>
      </c>
      <c r="CV45" s="55" t="s">
        <v>142</v>
      </c>
      <c r="CW45" s="55" t="s">
        <v>142</v>
      </c>
      <c r="CX45" s="55" t="s">
        <v>142</v>
      </c>
      <c r="CY45" s="55" t="s">
        <v>142</v>
      </c>
      <c r="CZ45" s="96" t="s">
        <v>142</v>
      </c>
      <c r="DA45" s="54" t="s">
        <v>154</v>
      </c>
      <c r="DB45" s="50" t="s">
        <v>155</v>
      </c>
      <c r="DC45" s="50" t="s">
        <v>156</v>
      </c>
      <c r="DD45" s="50" t="s">
        <v>146</v>
      </c>
      <c r="DE45" s="50" t="s">
        <v>157</v>
      </c>
      <c r="DF45" s="50" t="s">
        <v>146</v>
      </c>
      <c r="DG45" s="73"/>
      <c r="DH45" s="73"/>
      <c r="DI45" s="73"/>
      <c r="DJ45" s="73"/>
      <c r="DK45" s="708"/>
      <c r="DL45" s="708"/>
      <c r="DM45" s="709"/>
      <c r="DN45" s="790"/>
    </row>
    <row r="46" spans="1:156" ht="195">
      <c r="A46" s="8">
        <v>44</v>
      </c>
      <c r="B46" s="579">
        <v>202609</v>
      </c>
      <c r="C46" s="577" t="s">
        <v>1151</v>
      </c>
      <c r="D46" s="577" t="s">
        <v>174</v>
      </c>
      <c r="E46" s="581">
        <v>5793</v>
      </c>
      <c r="F46" s="576" t="s">
        <v>772</v>
      </c>
      <c r="G46" s="595"/>
      <c r="H46" s="297"/>
      <c r="I46" s="710"/>
      <c r="J46" s="576" t="s">
        <v>1152</v>
      </c>
      <c r="K46" s="562" t="s">
        <v>1160</v>
      </c>
      <c r="L46" s="562"/>
      <c r="M46" s="560" t="s">
        <v>1161</v>
      </c>
      <c r="N46" s="298" t="s">
        <v>1155</v>
      </c>
      <c r="O46" s="561" t="s">
        <v>146</v>
      </c>
      <c r="P46" s="575" t="s">
        <v>146</v>
      </c>
      <c r="Q46" s="558" t="s">
        <v>906</v>
      </c>
      <c r="R46" s="608" t="s">
        <v>907</v>
      </c>
      <c r="S46" s="562">
        <v>0</v>
      </c>
      <c r="T46" s="562">
        <v>0</v>
      </c>
      <c r="U46" s="562">
        <v>60</v>
      </c>
      <c r="V46" s="562">
        <v>40</v>
      </c>
      <c r="W46" s="562">
        <v>0</v>
      </c>
      <c r="X46" s="562">
        <v>0</v>
      </c>
      <c r="Y46" s="562">
        <v>0</v>
      </c>
      <c r="Z46" s="562">
        <v>0</v>
      </c>
      <c r="AA46" s="562">
        <v>0</v>
      </c>
      <c r="AB46" s="609">
        <v>100</v>
      </c>
      <c r="AC46" s="295" t="s">
        <v>199</v>
      </c>
      <c r="AD46" s="562" t="s">
        <v>190</v>
      </c>
      <c r="AE46" s="562" t="s">
        <v>146</v>
      </c>
      <c r="AF46" s="562" t="s">
        <v>146</v>
      </c>
      <c r="AG46" s="562" t="s">
        <v>142</v>
      </c>
      <c r="AH46" s="562">
        <v>2</v>
      </c>
      <c r="AI46" s="562">
        <v>20</v>
      </c>
      <c r="AJ46" s="62">
        <f>SUM(Sheet_1_Table_1_13[[#This Row],[ILP Units Per Session]]*Sheet_1_Table_1_13[[#This Row],[Quota]])</f>
        <v>40</v>
      </c>
      <c r="AK46" s="781">
        <v>46311</v>
      </c>
      <c r="AL46" s="586" t="e">
        <f>WEEKDAY([2]!Sheet_1_Table_1_13[[#This Row],[Lesson 1 
Date 
(DD-MMM-YYYY)]])</f>
        <v>#REF!</v>
      </c>
      <c r="AM46" s="761">
        <v>0.66666666666666663</v>
      </c>
      <c r="AN46" s="611">
        <v>0.75</v>
      </c>
      <c r="AO46" s="627" t="s">
        <v>1156</v>
      </c>
      <c r="AP46" s="585"/>
      <c r="AQ46" s="586" t="e">
        <f>WEEKDAY([2]!Sheet_1_Table_1_13[[#This Row],[Lesson 2
Date 
(DD-MMM-YYYY)]])</f>
        <v>#REF!</v>
      </c>
      <c r="AR46" s="565"/>
      <c r="AS46" s="583"/>
      <c r="AT46" s="584"/>
      <c r="AU46" s="582"/>
      <c r="AV46" s="586" t="e">
        <f>WEEKDAY([2]!Sheet_1_Table_1_13[[#This Row],[Lesson 3
Date 
(DD-MMM-YYYY)]])</f>
        <v>#REF!</v>
      </c>
      <c r="AW46" s="565"/>
      <c r="AX46" s="583"/>
      <c r="AY46" s="584"/>
      <c r="AZ46" s="587"/>
      <c r="BA46" s="586" t="e">
        <f>WEEKDAY([2]!Sheet_1_Table_1_13[[#This Row],[Lesson 4
Date 
(DD-MMM-YYYY)]])</f>
        <v>#REF!</v>
      </c>
      <c r="BB46" s="565"/>
      <c r="BC46" s="583"/>
      <c r="BD46" s="584"/>
      <c r="BE46" s="613"/>
      <c r="BF46" s="586" t="e">
        <f>WEEKDAY([2]!Sheet_1_Table_1_13[[#This Row],[Lesson 5
Date 
(DD-MMM-YYYY)]])</f>
        <v>#REF!</v>
      </c>
      <c r="BG46" s="614"/>
      <c r="BH46" s="583"/>
      <c r="BI46" s="584"/>
      <c r="BJ46" s="587"/>
      <c r="BK46" s="586" t="e">
        <f>WEEKDAY([2]!Sheet_1_Table_1_13[[#This Row],[Lesson 6
Date 
(DD-MMM-YYYY)]])</f>
        <v>#REF!</v>
      </c>
      <c r="BL46" s="565"/>
      <c r="BM46" s="583"/>
      <c r="BN46" s="588"/>
      <c r="BO46" s="576" t="s">
        <v>293</v>
      </c>
      <c r="BP46" s="559" t="s">
        <v>1157</v>
      </c>
      <c r="BQ46" s="562" t="s">
        <v>490</v>
      </c>
      <c r="BR46" s="298" t="s">
        <v>1066</v>
      </c>
      <c r="BS46" s="576"/>
      <c r="BT46" s="560"/>
      <c r="BU46" s="560"/>
      <c r="BV46" s="298"/>
      <c r="BW46" s="558">
        <v>0</v>
      </c>
      <c r="BX46" s="615"/>
      <c r="BY46" s="560" t="s">
        <v>149</v>
      </c>
      <c r="BZ46" s="560"/>
      <c r="CA46" s="560" t="s">
        <v>1159</v>
      </c>
      <c r="CB46" s="590"/>
      <c r="CC46" s="590"/>
      <c r="CD46" s="590"/>
      <c r="CE46" s="558" t="s">
        <v>779</v>
      </c>
      <c r="CF46" s="572" t="s">
        <v>780</v>
      </c>
      <c r="CG46" s="560" t="s">
        <v>781</v>
      </c>
      <c r="CH46" s="616" t="s">
        <v>782</v>
      </c>
      <c r="CI46" s="562" t="s">
        <v>146</v>
      </c>
      <c r="CJ46" s="562" t="s">
        <v>142</v>
      </c>
      <c r="CK46" s="562" t="s">
        <v>142</v>
      </c>
      <c r="CL46" s="562" t="s">
        <v>146</v>
      </c>
      <c r="CM46" s="562" t="s">
        <v>142</v>
      </c>
      <c r="CN46" s="562" t="s">
        <v>142</v>
      </c>
      <c r="CO46" s="562" t="s">
        <v>142</v>
      </c>
      <c r="CP46" s="562" t="s">
        <v>142</v>
      </c>
      <c r="CQ46" s="562" t="s">
        <v>142</v>
      </c>
      <c r="CR46" s="562" t="s">
        <v>142</v>
      </c>
      <c r="CS46" s="562" t="s">
        <v>142</v>
      </c>
      <c r="CT46" s="562" t="s">
        <v>142</v>
      </c>
      <c r="CU46" s="562" t="s">
        <v>142</v>
      </c>
      <c r="CV46" s="562" t="s">
        <v>142</v>
      </c>
      <c r="CW46" s="562" t="s">
        <v>142</v>
      </c>
      <c r="CX46" s="562" t="s">
        <v>142</v>
      </c>
      <c r="CY46" s="562" t="s">
        <v>142</v>
      </c>
      <c r="CZ46" s="575" t="s">
        <v>142</v>
      </c>
      <c r="DA46" s="576" t="s">
        <v>154</v>
      </c>
      <c r="DB46" s="577" t="s">
        <v>155</v>
      </c>
      <c r="DC46" s="577" t="s">
        <v>156</v>
      </c>
      <c r="DD46" s="577" t="s">
        <v>146</v>
      </c>
      <c r="DE46" s="577" t="s">
        <v>157</v>
      </c>
      <c r="DF46" s="577" t="s">
        <v>146</v>
      </c>
      <c r="DG46" s="578"/>
      <c r="DH46" s="578"/>
      <c r="DI46" s="578"/>
      <c r="DJ46" s="578"/>
      <c r="DK46" s="708"/>
      <c r="DL46" s="708"/>
      <c r="DM46" s="709"/>
      <c r="DN46" s="790"/>
    </row>
  </sheetData>
  <autoFilter ref="K1:L1" xr:uid="{E534055C-3311-4385-BCE5-3AA9FAF57653}">
    <filterColumn colId="0" showButton="0"/>
  </autoFilter>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L41:L43">
    <cfRule type="cellIs" dxfId="85" priority="6" operator="greaterThan">
      <formula>0</formula>
    </cfRule>
  </conditionalFormatting>
  <conditionalFormatting sqref="S3:AA46 K45:K46">
    <cfRule type="cellIs" dxfId="84" priority="2" operator="greaterThan">
      <formula>0</formula>
    </cfRule>
  </conditionalFormatting>
  <conditionalFormatting sqref="AB3:AB46">
    <cfRule type="cellIs" dxfId="83" priority="3" operator="notEqual">
      <formula>100</formula>
    </cfRule>
    <cfRule type="cellIs" dxfId="82" priority="4" operator="equal">
      <formula>100</formula>
    </cfRule>
  </conditionalFormatting>
  <conditionalFormatting sqref="AE3:AG46 CI3:CZ46 DI3:DJ46">
    <cfRule type="containsText" dxfId="81" priority="1" operator="containsText" text="Y">
      <formula>NOT(ISERROR(SEARCH("Y",AE3)))</formula>
    </cfRule>
  </conditionalFormatting>
  <hyperlinks>
    <hyperlink ref="CH40" r:id="rId1" xr:uid="{048F0D60-D68B-47B3-8682-4A08B3F75EB9}"/>
    <hyperlink ref="CF41" r:id="rId2" xr:uid="{DB9FAEA1-169D-473D-8AC8-57254B9226E2}"/>
    <hyperlink ref="CH41" r:id="rId3" xr:uid="{396EECCB-3E68-4342-9635-1C9E1E04FD98}"/>
    <hyperlink ref="CF42" r:id="rId4" xr:uid="{C0A46C9D-2D68-46A5-B0C3-7D1B6C767B72}"/>
    <hyperlink ref="CH42" r:id="rId5" xr:uid="{76AAB8CE-C154-459B-BAD8-41E3288C7CC3}"/>
    <hyperlink ref="CF43" r:id="rId6" xr:uid="{3F0E1F7B-50DE-4EF7-9E68-CFA5218A9E8A}"/>
    <hyperlink ref="CH43" r:id="rId7" xr:uid="{EA0A316A-028E-4B04-AC9A-60EFFB7D00BE}"/>
    <hyperlink ref="CF44" r:id="rId8" xr:uid="{46E4D557-CBC6-429D-A265-468231047489}"/>
    <hyperlink ref="CH44" r:id="rId9" xr:uid="{765D5229-1D75-4A6B-944C-BCC155F48F21}"/>
    <hyperlink ref="CF45" r:id="rId10" xr:uid="{C713C9A5-5E0D-40D7-A01D-F460F9F26C48}"/>
    <hyperlink ref="CH45" r:id="rId11" xr:uid="{B631700D-657F-40D4-9469-D345F6244037}"/>
    <hyperlink ref="CF46" r:id="rId12" xr:uid="{588C121F-3732-4473-A27D-DCF2438DA530}"/>
    <hyperlink ref="CH46" r:id="rId13" xr:uid="{BFA18139-72EB-4F5D-A3A3-CCD5BC4385B1}"/>
  </hyperlinks>
  <pageMargins left="0.7" right="0.7" top="0.75" bottom="0.75" header="0.3" footer="0.3"/>
  <pageSetup paperSize="9" scale="27" fitToWidth="0" orientation="portrait" r:id="rId14"/>
  <tableParts count="1">
    <tablePart r:id="rId1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62CCE-87F8-4E85-8213-F6BAE576071D}">
  <sheetPr>
    <pageSetUpPr fitToPage="1"/>
  </sheetPr>
  <dimension ref="A1:EZ52"/>
  <sheetViews>
    <sheetView topLeftCell="DF1" zoomScale="70" zoomScaleNormal="70" workbookViewId="0">
      <pane ySplit="2" topLeftCell="A3" activePane="bottomLeft" state="frozen"/>
      <selection activeCell="A3" sqref="A3"/>
      <selection pane="bottomLeft" activeCell="DN2" sqref="DN2"/>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42578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1.140625" style="4" customWidth="1"/>
    <col min="32" max="32" width="12.140625" style="3" customWidth="1"/>
    <col min="33" max="33" width="14.42578125" style="3" bestFit="1" customWidth="1"/>
    <col min="34" max="34" width="14" style="3" customWidth="1"/>
    <col min="35" max="35" width="13.42578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7.2851562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42578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42578125" style="4" customWidth="1"/>
    <col min="86" max="86" width="21.42578125" style="4" customWidth="1"/>
    <col min="87" max="87" width="17.42578125" style="4" customWidth="1"/>
    <col min="88" max="88" width="14.28515625" style="4" customWidth="1"/>
    <col min="89" max="89" width="12.7109375" style="4" customWidth="1"/>
    <col min="90" max="90" width="13" style="4" customWidth="1"/>
    <col min="91" max="92" width="12.7109375" style="4" customWidth="1"/>
    <col min="93" max="93" width="12.7109375" style="161" customWidth="1"/>
    <col min="94" max="94" width="12.7109375" style="3" customWidth="1"/>
    <col min="95" max="95" width="12.42578125" style="3" customWidth="1"/>
    <col min="96" max="101" width="12.7109375" style="3" customWidth="1"/>
    <col min="102" max="102" width="13" style="3" customWidth="1"/>
    <col min="103" max="105" width="12.7109375" style="3" customWidth="1"/>
    <col min="106" max="106" width="12.42578125" style="3"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42578125" customWidth="1"/>
    <col min="113" max="113" width="24.28515625" customWidth="1"/>
    <col min="114" max="114" width="20.42578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96" thickTop="1" thickBot="1">
      <c r="A1" s="1"/>
      <c r="B1" s="880" t="s">
        <v>0</v>
      </c>
      <c r="C1" s="878"/>
      <c r="D1" s="878"/>
      <c r="E1" s="874"/>
      <c r="F1" s="2"/>
      <c r="G1" s="2"/>
      <c r="H1" s="873" t="s">
        <v>1</v>
      </c>
      <c r="I1" s="874"/>
      <c r="K1" s="873" t="s">
        <v>2</v>
      </c>
      <c r="L1" s="874"/>
      <c r="M1" s="4"/>
      <c r="N1" s="4"/>
      <c r="O1" s="875" t="s">
        <v>3</v>
      </c>
      <c r="P1" s="877"/>
      <c r="Q1" s="873" t="s">
        <v>4</v>
      </c>
      <c r="R1" s="874"/>
      <c r="S1" s="873" t="s">
        <v>5</v>
      </c>
      <c r="T1" s="878"/>
      <c r="U1" s="878"/>
      <c r="V1" s="878"/>
      <c r="W1" s="878"/>
      <c r="X1" s="878"/>
      <c r="Y1" s="878"/>
      <c r="Z1" s="878"/>
      <c r="AA1" s="878"/>
      <c r="AB1" s="874"/>
      <c r="AD1" s="3"/>
      <c r="AE1" s="3"/>
      <c r="AH1" s="875" t="s">
        <v>6</v>
      </c>
      <c r="AI1" s="876"/>
      <c r="AJ1" s="877"/>
      <c r="AK1" s="5" t="s">
        <v>7</v>
      </c>
      <c r="AL1" s="3"/>
      <c r="AM1" s="3"/>
      <c r="AN1" s="3"/>
      <c r="AP1" s="881" t="s">
        <v>8</v>
      </c>
      <c r="AQ1" s="876"/>
      <c r="AR1" s="876"/>
      <c r="AS1" s="876"/>
      <c r="AT1" s="876"/>
      <c r="AU1" s="876"/>
      <c r="AV1" s="876"/>
      <c r="AW1" s="876"/>
      <c r="AX1" s="876"/>
      <c r="AY1" s="876"/>
      <c r="AZ1" s="876"/>
      <c r="BA1" s="876"/>
      <c r="BB1" s="876"/>
      <c r="BC1" s="876"/>
      <c r="BD1" s="876"/>
      <c r="BE1" s="876"/>
      <c r="BF1" s="876"/>
      <c r="BG1" s="876"/>
      <c r="BH1" s="876"/>
      <c r="BI1" s="876"/>
      <c r="BJ1" s="876"/>
      <c r="BK1" s="876"/>
      <c r="BL1" s="876"/>
      <c r="BM1" s="876"/>
      <c r="BN1" s="877"/>
      <c r="BP1" s="5" t="s">
        <v>9</v>
      </c>
      <c r="BQ1" s="5" t="s">
        <v>10</v>
      </c>
      <c r="BR1" s="4"/>
      <c r="BT1" s="4"/>
      <c r="BU1" s="4"/>
      <c r="BV1" s="4"/>
      <c r="BW1" s="873" t="s">
        <v>11</v>
      </c>
      <c r="BX1" s="878"/>
      <c r="BY1" s="878"/>
      <c r="BZ1" s="878"/>
      <c r="CA1" s="874"/>
      <c r="CB1" s="879"/>
      <c r="CC1" s="879"/>
      <c r="CD1" s="879"/>
      <c r="CE1" s="873" t="s">
        <v>12</v>
      </c>
      <c r="CF1" s="878"/>
      <c r="CG1" s="878"/>
      <c r="CH1" s="874"/>
      <c r="CI1" s="6"/>
      <c r="CJ1" s="875" t="s">
        <v>13</v>
      </c>
      <c r="CK1" s="876"/>
      <c r="CL1" s="876"/>
      <c r="CM1" s="876"/>
      <c r="CN1" s="876"/>
      <c r="CO1" s="876"/>
      <c r="CP1" s="876"/>
      <c r="CQ1" s="876"/>
      <c r="CR1" s="876"/>
      <c r="CS1" s="876"/>
      <c r="CT1" s="876"/>
      <c r="CU1" s="876"/>
      <c r="CV1" s="876"/>
      <c r="CW1" s="876"/>
      <c r="CX1" s="876"/>
      <c r="CY1" s="876"/>
      <c r="CZ1" s="877"/>
      <c r="DB1" s="7"/>
      <c r="DC1" s="7"/>
      <c r="DD1" s="4"/>
      <c r="DE1" s="7"/>
      <c r="DF1" s="7"/>
      <c r="DG1" s="7"/>
      <c r="DH1" s="4"/>
      <c r="DI1" s="873" t="s">
        <v>14</v>
      </c>
      <c r="DJ1" s="874"/>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1.75"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330" t="s">
        <v>55</v>
      </c>
      <c r="AP2" s="18"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c r="DN2" s="17" t="s">
        <v>2236</v>
      </c>
    </row>
    <row r="3" spans="1:156" ht="120">
      <c r="A3" s="48">
        <v>1</v>
      </c>
      <c r="B3" s="49">
        <v>202609</v>
      </c>
      <c r="C3" s="50" t="s">
        <v>1162</v>
      </c>
      <c r="D3" s="50" t="s">
        <v>174</v>
      </c>
      <c r="E3" s="51">
        <v>5833</v>
      </c>
      <c r="F3" s="52" t="s">
        <v>134</v>
      </c>
      <c r="G3" s="53" t="s">
        <v>712</v>
      </c>
      <c r="H3" s="675" t="s">
        <v>1163</v>
      </c>
      <c r="I3" s="676" t="s">
        <v>1164</v>
      </c>
      <c r="J3" s="141" t="s">
        <v>1165</v>
      </c>
      <c r="K3" s="55" t="s">
        <v>1166</v>
      </c>
      <c r="L3" s="55"/>
      <c r="M3" s="777" t="s">
        <v>1167</v>
      </c>
      <c r="N3" s="57" t="s">
        <v>1168</v>
      </c>
      <c r="O3" s="58" t="s">
        <v>146</v>
      </c>
      <c r="P3" s="59" t="s">
        <v>146</v>
      </c>
      <c r="Q3" s="60" t="s">
        <v>1169</v>
      </c>
      <c r="R3" s="61" t="str">
        <f>VLOOKUP(Sheet_1_Table_1_138[[#This Row],[Learning Domain]],[10]List!$A$7:$B$12,2,0)</f>
        <v>SEW</v>
      </c>
      <c r="S3" s="55">
        <v>0</v>
      </c>
      <c r="T3" s="55">
        <v>0</v>
      </c>
      <c r="U3" s="55">
        <v>0</v>
      </c>
      <c r="V3" s="55">
        <v>100</v>
      </c>
      <c r="W3" s="55">
        <v>0</v>
      </c>
      <c r="X3" s="55">
        <v>0</v>
      </c>
      <c r="Y3" s="55">
        <v>0</v>
      </c>
      <c r="Z3" s="55">
        <v>0</v>
      </c>
      <c r="AA3" s="55">
        <v>0</v>
      </c>
      <c r="AB3" s="53">
        <f>SUM(Sheet_1_Table_1_138[[#This Row],[Leadership LS]:[Career Development  CR]])</f>
        <v>100</v>
      </c>
      <c r="AC3" s="52" t="s">
        <v>144</v>
      </c>
      <c r="AD3" s="55" t="s">
        <v>386</v>
      </c>
      <c r="AE3" s="55" t="s">
        <v>146</v>
      </c>
      <c r="AF3" s="55" t="s">
        <v>142</v>
      </c>
      <c r="AG3" s="55" t="s">
        <v>142</v>
      </c>
      <c r="AH3" s="55">
        <v>1.5</v>
      </c>
      <c r="AI3" s="55">
        <v>200</v>
      </c>
      <c r="AJ3" s="62">
        <f>Sheet_1_Table_1_138[[#This Row],[ILP Units Per Session]]*Sheet_1_Table_1_138[[#This Row],[Quota]]</f>
        <v>300</v>
      </c>
      <c r="AK3" s="63">
        <v>46308</v>
      </c>
      <c r="AL3" s="64">
        <f>WEEKDAY(Sheet_1_Table_1_138[[#This Row],[Lesson 1 
Date 
(DD-MMM-YYYY)]])</f>
        <v>3</v>
      </c>
      <c r="AM3" s="65">
        <v>0.58333333333333337</v>
      </c>
      <c r="AN3" s="66">
        <v>0.64583333333333337</v>
      </c>
      <c r="AO3" s="67" t="s">
        <v>182</v>
      </c>
      <c r="AP3" s="677"/>
      <c r="AQ3" s="64">
        <f>WEEKDAY(Sheet_1_Table_1_138[[#This Row],[Lesson 2
Date 
(DD-MMM-YYYY)]])</f>
        <v>7</v>
      </c>
      <c r="AR3" s="65"/>
      <c r="AS3" s="66"/>
      <c r="AT3" s="66"/>
      <c r="AU3" s="63"/>
      <c r="AV3" s="64">
        <f>WEEKDAY(Sheet_1_Table_1_138[[#This Row],[Lesson 3
Date 
(DD-MMM-YYYY)]])</f>
        <v>7</v>
      </c>
      <c r="AW3" s="65"/>
      <c r="AX3" s="66"/>
      <c r="AY3" s="67"/>
      <c r="AZ3" s="68"/>
      <c r="BA3" s="64">
        <f>WEEKDAY(Sheet_1_Table_1_138[[#This Row],[Lesson 4
Date 
(DD-MMM-YYYY)]])</f>
        <v>7</v>
      </c>
      <c r="BB3" s="65"/>
      <c r="BC3" s="66"/>
      <c r="BD3" s="66"/>
      <c r="BE3" s="63"/>
      <c r="BF3" s="64">
        <f>WEEKDAY(Sheet_1_Table_1_138[[#This Row],[Lesson 5
Date 
(DD-MMM-YYYY)]])</f>
        <v>7</v>
      </c>
      <c r="BG3" s="65"/>
      <c r="BH3" s="66"/>
      <c r="BI3" s="67"/>
      <c r="BJ3" s="68"/>
      <c r="BK3" s="64">
        <f>WEEKDAY(Sheet_1_Table_1_138[[#This Row],[Lesson 6
Date 
(DD-MMM-YYYY)]])</f>
        <v>7</v>
      </c>
      <c r="BL3" s="65"/>
      <c r="BM3" s="66"/>
      <c r="BN3" s="66"/>
      <c r="BO3" s="54" t="s">
        <v>163</v>
      </c>
      <c r="BP3" s="55" t="s">
        <v>1170</v>
      </c>
      <c r="BQ3" s="55" t="s">
        <v>895</v>
      </c>
      <c r="BR3" s="53" t="s">
        <v>1171</v>
      </c>
      <c r="BS3" s="54"/>
      <c r="BT3" s="55"/>
      <c r="BU3" s="55"/>
      <c r="BV3" s="53"/>
      <c r="BW3" s="60"/>
      <c r="BX3" s="71"/>
      <c r="BY3" s="56" t="s">
        <v>149</v>
      </c>
      <c r="BZ3" s="56"/>
      <c r="CA3" s="56" t="s">
        <v>149</v>
      </c>
      <c r="CB3" s="72"/>
      <c r="CC3" s="72"/>
      <c r="CD3" s="71"/>
      <c r="CE3" s="60" t="s">
        <v>1172</v>
      </c>
      <c r="CF3" s="164" t="s">
        <v>1173</v>
      </c>
      <c r="CG3" s="60" t="s">
        <v>1174</v>
      </c>
      <c r="CH3" s="71" t="s">
        <v>1175</v>
      </c>
      <c r="CI3" s="52" t="s">
        <v>146</v>
      </c>
      <c r="CJ3" s="52" t="s">
        <v>142</v>
      </c>
      <c r="CK3" s="52" t="s">
        <v>142</v>
      </c>
      <c r="CL3" s="52" t="s">
        <v>146</v>
      </c>
      <c r="CM3" s="52" t="s">
        <v>142</v>
      </c>
      <c r="CN3" s="52" t="s">
        <v>142</v>
      </c>
      <c r="CO3" s="52" t="s">
        <v>142</v>
      </c>
      <c r="CP3" s="52" t="s">
        <v>142</v>
      </c>
      <c r="CQ3" s="52" t="s">
        <v>142</v>
      </c>
      <c r="CR3" s="52" t="s">
        <v>142</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N3" s="790"/>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135">
      <c r="A4" s="48">
        <v>2</v>
      </c>
      <c r="B4" s="333">
        <v>202609</v>
      </c>
      <c r="C4" s="197" t="s">
        <v>1176</v>
      </c>
      <c r="D4" s="197" t="s">
        <v>251</v>
      </c>
      <c r="E4" s="198">
        <v>5834</v>
      </c>
      <c r="F4" s="52" t="s">
        <v>134</v>
      </c>
      <c r="G4" s="53" t="s">
        <v>712</v>
      </c>
      <c r="H4" s="675" t="s">
        <v>1163</v>
      </c>
      <c r="I4" s="676" t="s">
        <v>1164</v>
      </c>
      <c r="J4" s="678" t="s">
        <v>1177</v>
      </c>
      <c r="K4" s="55" t="s">
        <v>1178</v>
      </c>
      <c r="L4" s="55"/>
      <c r="M4" s="56" t="s">
        <v>1179</v>
      </c>
      <c r="N4" s="211" t="s">
        <v>1180</v>
      </c>
      <c r="O4" s="58" t="s">
        <v>146</v>
      </c>
      <c r="P4" s="450" t="s">
        <v>146</v>
      </c>
      <c r="Q4" s="214" t="s">
        <v>1169</v>
      </c>
      <c r="R4" s="77" t="str">
        <f>VLOOKUP(Sheet_1_Table_1_138[[#This Row],[Learning Domain]],[10]List!$A$7:$B$12,2,0)</f>
        <v>SEW</v>
      </c>
      <c r="S4" s="55">
        <v>0</v>
      </c>
      <c r="T4" s="55">
        <v>0</v>
      </c>
      <c r="U4" s="55">
        <v>0</v>
      </c>
      <c r="V4" s="55">
        <v>100</v>
      </c>
      <c r="W4" s="55">
        <v>0</v>
      </c>
      <c r="X4" s="55">
        <v>0</v>
      </c>
      <c r="Y4" s="55">
        <v>0</v>
      </c>
      <c r="Z4" s="55">
        <v>0</v>
      </c>
      <c r="AA4" s="55">
        <v>0</v>
      </c>
      <c r="AB4" s="53">
        <f>SUM(Sheet_1_Table_1_138[[#This Row],[Leadership LS]:[Career Development  CR]])</f>
        <v>100</v>
      </c>
      <c r="AC4" s="52" t="s">
        <v>199</v>
      </c>
      <c r="AD4" s="201" t="s">
        <v>190</v>
      </c>
      <c r="AE4" s="201" t="s">
        <v>142</v>
      </c>
      <c r="AF4" s="201" t="s">
        <v>146</v>
      </c>
      <c r="AG4" s="201" t="s">
        <v>142</v>
      </c>
      <c r="AH4" s="201">
        <v>3</v>
      </c>
      <c r="AI4" s="55">
        <v>20</v>
      </c>
      <c r="AJ4" s="202">
        <f>Sheet_1_Table_1_138[[#This Row],[ILP Units Per Session]]*Sheet_1_Table_1_138[[#This Row],[Quota]]</f>
        <v>60</v>
      </c>
      <c r="AK4" s="203">
        <v>46294</v>
      </c>
      <c r="AL4" s="165">
        <f>WEEKDAY(Sheet_1_Table_1_138[[#This Row],[Lesson 1 
Date 
(DD-MMM-YYYY)]])</f>
        <v>3</v>
      </c>
      <c r="AM4" s="204">
        <v>0.58333333333333337</v>
      </c>
      <c r="AN4" s="205">
        <v>0.70833333333333337</v>
      </c>
      <c r="AO4" s="679" t="s">
        <v>1181</v>
      </c>
      <c r="AP4" s="680"/>
      <c r="AQ4" s="64">
        <f>WEEKDAY(Sheet_1_Table_1_138[[#This Row],[Lesson 2
Date 
(DD-MMM-YYYY)]])</f>
        <v>7</v>
      </c>
      <c r="AR4" s="65"/>
      <c r="AS4" s="66"/>
      <c r="AT4" s="66"/>
      <c r="AU4" s="203"/>
      <c r="AV4" s="165">
        <f>WEEKDAY(Sheet_1_Table_1_138[[#This Row],[Lesson 3
Date 
(DD-MMM-YYYY)]])</f>
        <v>7</v>
      </c>
      <c r="AW4" s="204"/>
      <c r="AX4" s="205"/>
      <c r="AY4" s="207"/>
      <c r="AZ4" s="68"/>
      <c r="BA4" s="64">
        <f>WEEKDAY(Sheet_1_Table_1_138[[#This Row],[Lesson 4
Date 
(DD-MMM-YYYY)]])</f>
        <v>7</v>
      </c>
      <c r="BB4" s="65"/>
      <c r="BC4" s="66"/>
      <c r="BD4" s="66"/>
      <c r="BE4" s="203"/>
      <c r="BF4" s="165">
        <f>WEEKDAY(Sheet_1_Table_1_138[[#This Row],[Lesson 5
Date 
(DD-MMM-YYYY)]])</f>
        <v>7</v>
      </c>
      <c r="BG4" s="204"/>
      <c r="BH4" s="205"/>
      <c r="BI4" s="207"/>
      <c r="BJ4" s="68"/>
      <c r="BK4" s="165">
        <f>WEEKDAY(Sheet_1_Table_1_138[[#This Row],[Lesson 6
Date 
(DD-MMM-YYYY)]])</f>
        <v>7</v>
      </c>
      <c r="BL4" s="204"/>
      <c r="BM4" s="205"/>
      <c r="BN4" s="205"/>
      <c r="BO4" s="54" t="s">
        <v>293</v>
      </c>
      <c r="BP4" s="55" t="s">
        <v>1182</v>
      </c>
      <c r="BQ4" s="55" t="s">
        <v>1183</v>
      </c>
      <c r="BR4" s="53" t="s">
        <v>1184</v>
      </c>
      <c r="BS4" s="54"/>
      <c r="BT4" s="55"/>
      <c r="BU4" s="55"/>
      <c r="BV4" s="53"/>
      <c r="BW4" s="60"/>
      <c r="BX4" s="71"/>
      <c r="BY4" s="210" t="s">
        <v>149</v>
      </c>
      <c r="BZ4" s="210"/>
      <c r="CA4" s="210" t="s">
        <v>149</v>
      </c>
      <c r="CB4" s="212"/>
      <c r="CC4" s="212"/>
      <c r="CD4" s="213"/>
      <c r="CE4" s="60" t="s">
        <v>1172</v>
      </c>
      <c r="CF4" s="164" t="s">
        <v>1173</v>
      </c>
      <c r="CG4" s="60" t="s">
        <v>1174</v>
      </c>
      <c r="CH4" s="71" t="s">
        <v>1175</v>
      </c>
      <c r="CI4" s="215" t="s">
        <v>146</v>
      </c>
      <c r="CJ4" s="52" t="s">
        <v>142</v>
      </c>
      <c r="CK4" s="52" t="s">
        <v>142</v>
      </c>
      <c r="CL4" s="52" t="s">
        <v>146</v>
      </c>
      <c r="CM4" s="52" t="s">
        <v>142</v>
      </c>
      <c r="CN4" s="52" t="s">
        <v>142</v>
      </c>
      <c r="CO4" s="52" t="s">
        <v>142</v>
      </c>
      <c r="CP4" s="52" t="s">
        <v>142</v>
      </c>
      <c r="CQ4" s="52" t="s">
        <v>142</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216"/>
      <c r="DH4" s="216"/>
      <c r="DI4" s="74"/>
      <c r="DJ4" s="75"/>
      <c r="DK4" s="217" t="s">
        <v>146</v>
      </c>
      <c r="DL4" s="217" t="s">
        <v>146</v>
      </c>
      <c r="DM4" s="217" t="s">
        <v>146</v>
      </c>
      <c r="DN4" s="790"/>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05">
      <c r="A5" s="48">
        <v>3</v>
      </c>
      <c r="B5" s="49">
        <v>202609</v>
      </c>
      <c r="C5" s="50" t="s">
        <v>1185</v>
      </c>
      <c r="D5" s="50" t="s">
        <v>174</v>
      </c>
      <c r="E5" s="198">
        <v>5835</v>
      </c>
      <c r="F5" s="52" t="s">
        <v>134</v>
      </c>
      <c r="G5" s="53" t="s">
        <v>712</v>
      </c>
      <c r="H5" s="675" t="s">
        <v>1186</v>
      </c>
      <c r="I5" s="676" t="s">
        <v>1187</v>
      </c>
      <c r="J5" s="678" t="s">
        <v>1188</v>
      </c>
      <c r="K5" s="55" t="s">
        <v>1189</v>
      </c>
      <c r="L5" s="55"/>
      <c r="M5" s="56" t="s">
        <v>1190</v>
      </c>
      <c r="N5" s="211" t="s">
        <v>1191</v>
      </c>
      <c r="O5" s="58" t="s">
        <v>146</v>
      </c>
      <c r="P5" s="450" t="s">
        <v>146</v>
      </c>
      <c r="Q5" s="214" t="s">
        <v>1169</v>
      </c>
      <c r="R5" s="77" t="str">
        <f>VLOOKUP(Sheet_1_Table_1_138[[#This Row],[Learning Domain]],[10]List!$A$7:$B$12,2,0)</f>
        <v>SEW</v>
      </c>
      <c r="S5" s="55">
        <v>0</v>
      </c>
      <c r="T5" s="55">
        <v>0</v>
      </c>
      <c r="U5" s="55">
        <v>0</v>
      </c>
      <c r="V5" s="55">
        <v>100</v>
      </c>
      <c r="W5" s="55">
        <v>0</v>
      </c>
      <c r="X5" s="55">
        <v>0</v>
      </c>
      <c r="Y5" s="55">
        <v>0</v>
      </c>
      <c r="Z5" s="55">
        <v>0</v>
      </c>
      <c r="AA5" s="55">
        <v>0</v>
      </c>
      <c r="AB5" s="53">
        <f>SUM(Sheet_1_Table_1_138[[#This Row],[Leadership LS]:[Career Development  CR]])</f>
        <v>100</v>
      </c>
      <c r="AC5" s="52" t="s">
        <v>199</v>
      </c>
      <c r="AD5" s="201" t="s">
        <v>190</v>
      </c>
      <c r="AE5" s="201" t="s">
        <v>142</v>
      </c>
      <c r="AF5" s="201" t="s">
        <v>146</v>
      </c>
      <c r="AG5" s="201" t="s">
        <v>142</v>
      </c>
      <c r="AH5" s="201">
        <v>2</v>
      </c>
      <c r="AI5" s="55">
        <v>30</v>
      </c>
      <c r="AJ5" s="202">
        <f>Sheet_1_Table_1_138[[#This Row],[ILP Units Per Session]]*Sheet_1_Table_1_138[[#This Row],[Quota]]</f>
        <v>60</v>
      </c>
      <c r="AK5" s="681">
        <v>46315</v>
      </c>
      <c r="AL5" s="64">
        <f>WEEKDAY(Sheet_1_Table_1_138[[#This Row],[Lesson 1 
Date 
(DD-MMM-YYYY)]])</f>
        <v>3</v>
      </c>
      <c r="AM5" s="65">
        <v>0.58333333333333337</v>
      </c>
      <c r="AN5" s="66">
        <v>0.66666666666666663</v>
      </c>
      <c r="AO5" s="679" t="s">
        <v>690</v>
      </c>
      <c r="AP5" s="680"/>
      <c r="AQ5" s="64">
        <f>WEEKDAY(Sheet_1_Table_1_138[[#This Row],[Lesson 2
Date 
(DD-MMM-YYYY)]])</f>
        <v>7</v>
      </c>
      <c r="AR5" s="65"/>
      <c r="AS5" s="66"/>
      <c r="AT5" s="66"/>
      <c r="AU5" s="203"/>
      <c r="AV5" s="165">
        <f>WEEKDAY(Sheet_1_Table_1_138[[#This Row],[Lesson 3
Date 
(DD-MMM-YYYY)]])</f>
        <v>7</v>
      </c>
      <c r="AW5" s="204"/>
      <c r="AX5" s="205"/>
      <c r="AY5" s="207"/>
      <c r="AZ5" s="68"/>
      <c r="BA5" s="64">
        <f>WEEKDAY(Sheet_1_Table_1_138[[#This Row],[Lesson 4
Date 
(DD-MMM-YYYY)]])</f>
        <v>7</v>
      </c>
      <c r="BB5" s="65"/>
      <c r="BC5" s="66"/>
      <c r="BD5" s="66"/>
      <c r="BE5" s="203"/>
      <c r="BF5" s="165">
        <f>WEEKDAY(Sheet_1_Table_1_138[[#This Row],[Lesson 5
Date 
(DD-MMM-YYYY)]])</f>
        <v>7</v>
      </c>
      <c r="BG5" s="204"/>
      <c r="BH5" s="205"/>
      <c r="BI5" s="207"/>
      <c r="BJ5" s="68"/>
      <c r="BK5" s="165">
        <f>WEEKDAY(Sheet_1_Table_1_138[[#This Row],[Lesson 6
Date 
(DD-MMM-YYYY)]])</f>
        <v>7</v>
      </c>
      <c r="BL5" s="204"/>
      <c r="BM5" s="205"/>
      <c r="BN5" s="205"/>
      <c r="BO5" s="54" t="s">
        <v>163</v>
      </c>
      <c r="BP5" s="55" t="s">
        <v>1192</v>
      </c>
      <c r="BQ5" s="55" t="s">
        <v>1193</v>
      </c>
      <c r="BR5" s="53" t="s">
        <v>1194</v>
      </c>
      <c r="BS5" s="54" t="s">
        <v>293</v>
      </c>
      <c r="BT5" s="55" t="s">
        <v>1195</v>
      </c>
      <c r="BU5" s="55" t="s">
        <v>1196</v>
      </c>
      <c r="BV5" s="53" t="s">
        <v>1194</v>
      </c>
      <c r="BW5" s="60"/>
      <c r="BX5" s="71"/>
      <c r="BY5" s="210" t="s">
        <v>149</v>
      </c>
      <c r="BZ5" s="210"/>
      <c r="CA5" s="210" t="s">
        <v>149</v>
      </c>
      <c r="CB5" s="212"/>
      <c r="CC5" s="212"/>
      <c r="CD5" s="213"/>
      <c r="CE5" s="60" t="s">
        <v>1172</v>
      </c>
      <c r="CF5" s="164" t="s">
        <v>1173</v>
      </c>
      <c r="CG5" s="60" t="s">
        <v>1174</v>
      </c>
      <c r="CH5" s="71" t="s">
        <v>1175</v>
      </c>
      <c r="CI5" s="215" t="s">
        <v>146</v>
      </c>
      <c r="CJ5" s="52" t="s">
        <v>142</v>
      </c>
      <c r="CK5" s="52" t="s">
        <v>142</v>
      </c>
      <c r="CL5" s="52" t="s">
        <v>146</v>
      </c>
      <c r="CM5" s="52" t="s">
        <v>142</v>
      </c>
      <c r="CN5" s="52" t="s">
        <v>142</v>
      </c>
      <c r="CO5" s="52" t="s">
        <v>142</v>
      </c>
      <c r="CP5" s="52" t="s">
        <v>142</v>
      </c>
      <c r="CQ5" s="52" t="s">
        <v>142</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216"/>
      <c r="DH5" s="216"/>
      <c r="DI5" s="74"/>
      <c r="DJ5" s="75"/>
      <c r="DK5" s="217" t="s">
        <v>146</v>
      </c>
      <c r="DL5" s="217" t="s">
        <v>146</v>
      </c>
      <c r="DM5" s="217" t="s">
        <v>146</v>
      </c>
      <c r="DN5" s="790"/>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20">
      <c r="A6" s="48">
        <v>4</v>
      </c>
      <c r="B6" s="49">
        <v>202609</v>
      </c>
      <c r="C6" s="50" t="s">
        <v>1197</v>
      </c>
      <c r="D6" s="50" t="s">
        <v>251</v>
      </c>
      <c r="E6" s="51">
        <v>5836</v>
      </c>
      <c r="F6" s="52" t="s">
        <v>134</v>
      </c>
      <c r="G6" s="53" t="s">
        <v>712</v>
      </c>
      <c r="H6" s="675" t="s">
        <v>1186</v>
      </c>
      <c r="I6" s="676" t="s">
        <v>1187</v>
      </c>
      <c r="J6" s="141" t="s">
        <v>1198</v>
      </c>
      <c r="K6" s="55" t="s">
        <v>1199</v>
      </c>
      <c r="L6" s="55"/>
      <c r="M6" s="56" t="s">
        <v>1200</v>
      </c>
      <c r="N6" s="57" t="s">
        <v>1201</v>
      </c>
      <c r="O6" s="58" t="s">
        <v>146</v>
      </c>
      <c r="P6" s="59" t="s">
        <v>146</v>
      </c>
      <c r="Q6" s="60" t="s">
        <v>1169</v>
      </c>
      <c r="R6" s="77" t="str">
        <f>VLOOKUP(Sheet_1_Table_1_138[[#This Row],[Learning Domain]],[10]List!$A$7:$B$12,2,0)</f>
        <v>SEW</v>
      </c>
      <c r="S6" s="55">
        <v>0</v>
      </c>
      <c r="T6" s="55">
        <v>0</v>
      </c>
      <c r="U6" s="55">
        <v>0</v>
      </c>
      <c r="V6" s="55">
        <v>80</v>
      </c>
      <c r="W6" s="55">
        <v>0</v>
      </c>
      <c r="X6" s="55">
        <v>20</v>
      </c>
      <c r="Y6" s="55">
        <v>0</v>
      </c>
      <c r="Z6" s="55">
        <v>0</v>
      </c>
      <c r="AA6" s="55">
        <v>0</v>
      </c>
      <c r="AB6" s="53">
        <v>100</v>
      </c>
      <c r="AC6" s="52" t="s">
        <v>144</v>
      </c>
      <c r="AD6" s="55" t="s">
        <v>386</v>
      </c>
      <c r="AE6" s="55" t="s">
        <v>142</v>
      </c>
      <c r="AF6" s="55" t="s">
        <v>146</v>
      </c>
      <c r="AG6" s="55" t="s">
        <v>142</v>
      </c>
      <c r="AH6" s="55">
        <v>1.5</v>
      </c>
      <c r="AI6" s="55">
        <v>200</v>
      </c>
      <c r="AJ6" s="202">
        <f>Sheet_1_Table_1_138[[#This Row],[ILP Units Per Session]]*Sheet_1_Table_1_138[[#This Row],[Quota]]</f>
        <v>300</v>
      </c>
      <c r="AK6" s="63">
        <v>46288</v>
      </c>
      <c r="AL6" s="64">
        <f>WEEKDAY(Sheet_1_Table_1_138[[#This Row],[Lesson 1 
Date 
(DD-MMM-YYYY)]])</f>
        <v>4</v>
      </c>
      <c r="AM6" s="65">
        <v>0.64583333333333337</v>
      </c>
      <c r="AN6" s="66">
        <v>0.70833333333333337</v>
      </c>
      <c r="AO6" s="67" t="s">
        <v>182</v>
      </c>
      <c r="AP6" s="68"/>
      <c r="AQ6" s="64"/>
      <c r="AR6" s="65"/>
      <c r="AS6" s="66"/>
      <c r="AT6" s="66"/>
      <c r="AU6" s="63"/>
      <c r="AV6" s="64"/>
      <c r="AW6" s="65"/>
      <c r="AX6" s="66"/>
      <c r="AY6" s="67"/>
      <c r="AZ6" s="68"/>
      <c r="BA6" s="64"/>
      <c r="BB6" s="65"/>
      <c r="BC6" s="66"/>
      <c r="BD6" s="66"/>
      <c r="BE6" s="63"/>
      <c r="BF6" s="64"/>
      <c r="BG6" s="65"/>
      <c r="BH6" s="66"/>
      <c r="BI6" s="67"/>
      <c r="BJ6" s="68"/>
      <c r="BK6" s="64"/>
      <c r="BL6" s="65"/>
      <c r="BM6" s="66"/>
      <c r="BN6" s="66"/>
      <c r="BO6" s="54" t="s">
        <v>289</v>
      </c>
      <c r="BP6" s="55" t="s">
        <v>1202</v>
      </c>
      <c r="BQ6" s="55" t="s">
        <v>402</v>
      </c>
      <c r="BR6" s="53" t="s">
        <v>1203</v>
      </c>
      <c r="BS6" s="52"/>
      <c r="BT6" s="55"/>
      <c r="BU6" s="55"/>
      <c r="BV6" s="59"/>
      <c r="BW6" s="60"/>
      <c r="BX6" s="71"/>
      <c r="BY6" s="56" t="s">
        <v>149</v>
      </c>
      <c r="BZ6" s="56"/>
      <c r="CA6" s="56" t="s">
        <v>149</v>
      </c>
      <c r="CB6" s="72"/>
      <c r="CC6" s="72"/>
      <c r="CD6" s="71"/>
      <c r="CE6" s="60" t="s">
        <v>1204</v>
      </c>
      <c r="CF6" s="164" t="s">
        <v>1205</v>
      </c>
      <c r="CG6" s="60" t="s">
        <v>1174</v>
      </c>
      <c r="CH6" s="71" t="s">
        <v>1175</v>
      </c>
      <c r="CI6" s="215" t="s">
        <v>146</v>
      </c>
      <c r="CJ6" s="52" t="s">
        <v>142</v>
      </c>
      <c r="CK6" s="52" t="s">
        <v>142</v>
      </c>
      <c r="CL6" s="52" t="s">
        <v>146</v>
      </c>
      <c r="CM6" s="52" t="s">
        <v>142</v>
      </c>
      <c r="CN6" s="52" t="s">
        <v>142</v>
      </c>
      <c r="CO6" s="52" t="s">
        <v>142</v>
      </c>
      <c r="CP6" s="52" t="s">
        <v>142</v>
      </c>
      <c r="CQ6" s="52" t="s">
        <v>142</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N6" s="790"/>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135">
      <c r="A7" s="48">
        <v>5</v>
      </c>
      <c r="B7" s="333">
        <v>202609</v>
      </c>
      <c r="C7" s="197" t="s">
        <v>1206</v>
      </c>
      <c r="D7" s="197" t="s">
        <v>174</v>
      </c>
      <c r="E7" s="198">
        <v>5837</v>
      </c>
      <c r="F7" s="52" t="s">
        <v>134</v>
      </c>
      <c r="G7" s="53" t="s">
        <v>712</v>
      </c>
      <c r="H7" s="675" t="s">
        <v>1163</v>
      </c>
      <c r="I7" s="676" t="s">
        <v>1164</v>
      </c>
      <c r="J7" s="678" t="s">
        <v>1207</v>
      </c>
      <c r="K7" s="55" t="s">
        <v>1208</v>
      </c>
      <c r="L7" s="55"/>
      <c r="M7" s="56" t="s">
        <v>1209</v>
      </c>
      <c r="N7" s="211" t="s">
        <v>1210</v>
      </c>
      <c r="O7" s="58" t="s">
        <v>146</v>
      </c>
      <c r="P7" s="450" t="s">
        <v>146</v>
      </c>
      <c r="Q7" s="214" t="s">
        <v>1169</v>
      </c>
      <c r="R7" s="77" t="str">
        <f>VLOOKUP(Sheet_1_Table_1_138[[#This Row],[Learning Domain]],[10]List!$A$7:$B$12,2,0)</f>
        <v>SEW</v>
      </c>
      <c r="S7" s="55">
        <v>0</v>
      </c>
      <c r="T7" s="55">
        <v>0</v>
      </c>
      <c r="U7" s="55">
        <v>0</v>
      </c>
      <c r="V7" s="55">
        <v>80</v>
      </c>
      <c r="W7" s="55">
        <v>0</v>
      </c>
      <c r="X7" s="55">
        <v>20</v>
      </c>
      <c r="Y7" s="55">
        <v>0</v>
      </c>
      <c r="Z7" s="55">
        <v>0</v>
      </c>
      <c r="AA7" s="55">
        <v>0</v>
      </c>
      <c r="AB7" s="53">
        <v>100</v>
      </c>
      <c r="AC7" s="52" t="s">
        <v>144</v>
      </c>
      <c r="AD7" s="201" t="s">
        <v>386</v>
      </c>
      <c r="AE7" s="201" t="s">
        <v>142</v>
      </c>
      <c r="AF7" s="201" t="s">
        <v>146</v>
      </c>
      <c r="AG7" s="201" t="s">
        <v>142</v>
      </c>
      <c r="AH7" s="201">
        <v>2</v>
      </c>
      <c r="AI7" s="55">
        <v>200</v>
      </c>
      <c r="AJ7" s="202">
        <f>Sheet_1_Table_1_138[[#This Row],[ILP Units Per Session]]*Sheet_1_Table_1_138[[#This Row],[Quota]]</f>
        <v>400</v>
      </c>
      <c r="AK7" s="63">
        <v>46310</v>
      </c>
      <c r="AL7" s="64">
        <f>WEEKDAY(Sheet_1_Table_1_138[[#This Row],[Lesson 1 
Date 
(DD-MMM-YYYY)]])</f>
        <v>5</v>
      </c>
      <c r="AM7" s="204">
        <v>0.625</v>
      </c>
      <c r="AN7" s="205">
        <v>0.70833333333333337</v>
      </c>
      <c r="AO7" s="207" t="s">
        <v>182</v>
      </c>
      <c r="AP7" s="677"/>
      <c r="AQ7" s="64"/>
      <c r="AR7" s="65"/>
      <c r="AS7" s="66"/>
      <c r="AT7" s="66"/>
      <c r="AU7" s="203"/>
      <c r="AV7" s="165"/>
      <c r="AW7" s="204"/>
      <c r="AX7" s="205"/>
      <c r="AY7" s="207"/>
      <c r="AZ7" s="68"/>
      <c r="BA7" s="64"/>
      <c r="BB7" s="65"/>
      <c r="BC7" s="66"/>
      <c r="BD7" s="66"/>
      <c r="BE7" s="203"/>
      <c r="BF7" s="165"/>
      <c r="BG7" s="204"/>
      <c r="BH7" s="205"/>
      <c r="BI7" s="207"/>
      <c r="BJ7" s="68"/>
      <c r="BK7" s="165"/>
      <c r="BL7" s="204"/>
      <c r="BM7" s="205"/>
      <c r="BN7" s="205"/>
      <c r="BO7" s="208" t="s">
        <v>293</v>
      </c>
      <c r="BP7" s="201" t="s">
        <v>1211</v>
      </c>
      <c r="BQ7" s="201" t="s">
        <v>1015</v>
      </c>
      <c r="BR7" s="473" t="s">
        <v>1212</v>
      </c>
      <c r="BS7" s="52" t="s">
        <v>163</v>
      </c>
      <c r="BT7" s="201" t="s">
        <v>1213</v>
      </c>
      <c r="BU7" s="201" t="s">
        <v>1214</v>
      </c>
      <c r="BV7" s="59" t="s">
        <v>1215</v>
      </c>
      <c r="BW7" s="60"/>
      <c r="BX7" s="71"/>
      <c r="BY7" s="210" t="s">
        <v>149</v>
      </c>
      <c r="BZ7" s="210"/>
      <c r="CA7" s="210" t="s">
        <v>149</v>
      </c>
      <c r="CB7" s="212"/>
      <c r="CC7" s="212"/>
      <c r="CD7" s="213"/>
      <c r="CE7" s="214" t="s">
        <v>1204</v>
      </c>
      <c r="CF7" s="464" t="s">
        <v>1205</v>
      </c>
      <c r="CG7" s="60" t="s">
        <v>1174</v>
      </c>
      <c r="CH7" s="71" t="s">
        <v>1175</v>
      </c>
      <c r="CI7" s="215" t="s">
        <v>146</v>
      </c>
      <c r="CJ7" s="52" t="s">
        <v>142</v>
      </c>
      <c r="CK7" s="52" t="s">
        <v>142</v>
      </c>
      <c r="CL7" s="52" t="s">
        <v>146</v>
      </c>
      <c r="CM7" s="52" t="s">
        <v>142</v>
      </c>
      <c r="CN7" s="52" t="s">
        <v>142</v>
      </c>
      <c r="CO7" s="52" t="s">
        <v>142</v>
      </c>
      <c r="CP7" s="52" t="s">
        <v>142</v>
      </c>
      <c r="CQ7" s="52" t="s">
        <v>142</v>
      </c>
      <c r="CR7" s="52" t="s">
        <v>142</v>
      </c>
      <c r="CS7" s="52" t="s">
        <v>142</v>
      </c>
      <c r="CT7" s="52" t="s">
        <v>142</v>
      </c>
      <c r="CU7" s="52" t="s">
        <v>142</v>
      </c>
      <c r="CV7" s="52" t="s">
        <v>142</v>
      </c>
      <c r="CW7" s="52" t="s">
        <v>142</v>
      </c>
      <c r="CX7" s="52" t="s">
        <v>142</v>
      </c>
      <c r="CY7" s="52" t="s">
        <v>142</v>
      </c>
      <c r="CZ7" s="59" t="s">
        <v>142</v>
      </c>
      <c r="DA7" s="54" t="s">
        <v>154</v>
      </c>
      <c r="DB7" s="50" t="s">
        <v>155</v>
      </c>
      <c r="DC7" s="50" t="s">
        <v>156</v>
      </c>
      <c r="DD7" s="50" t="s">
        <v>146</v>
      </c>
      <c r="DE7" s="50" t="s">
        <v>157</v>
      </c>
      <c r="DF7" s="50" t="s">
        <v>146</v>
      </c>
      <c r="DG7" s="216"/>
      <c r="DH7" s="216"/>
      <c r="DI7" s="74"/>
      <c r="DJ7" s="75"/>
      <c r="DK7" s="217" t="s">
        <v>146</v>
      </c>
      <c r="DL7" s="217" t="s">
        <v>146</v>
      </c>
      <c r="DM7" s="217" t="s">
        <v>146</v>
      </c>
      <c r="DN7" s="790"/>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120">
      <c r="A8" s="682" t="s">
        <v>1216</v>
      </c>
      <c r="B8" s="49">
        <v>202609</v>
      </c>
      <c r="C8" s="50" t="s">
        <v>1217</v>
      </c>
      <c r="D8" s="50" t="s">
        <v>174</v>
      </c>
      <c r="E8" s="198">
        <v>5838</v>
      </c>
      <c r="F8" s="52" t="s">
        <v>134</v>
      </c>
      <c r="G8" s="53" t="s">
        <v>712</v>
      </c>
      <c r="H8" s="675" t="s">
        <v>1186</v>
      </c>
      <c r="I8" s="676" t="s">
        <v>1187</v>
      </c>
      <c r="J8" s="678" t="s">
        <v>1218</v>
      </c>
      <c r="K8" s="55" t="s">
        <v>1219</v>
      </c>
      <c r="L8" s="55"/>
      <c r="M8" s="56" t="s">
        <v>1220</v>
      </c>
      <c r="N8" s="211" t="s">
        <v>1221</v>
      </c>
      <c r="O8" s="58" t="s">
        <v>146</v>
      </c>
      <c r="P8" s="450" t="s">
        <v>146</v>
      </c>
      <c r="Q8" s="214" t="s">
        <v>1169</v>
      </c>
      <c r="R8" s="77" t="str">
        <f>VLOOKUP(Sheet_1_Table_1_138[[#This Row],[Learning Domain]],[10]List!$A$7:$B$12,2,0)</f>
        <v>SEW</v>
      </c>
      <c r="S8" s="55">
        <v>0</v>
      </c>
      <c r="T8" s="55">
        <v>0</v>
      </c>
      <c r="U8" s="55">
        <v>0</v>
      </c>
      <c r="V8" s="55">
        <v>70</v>
      </c>
      <c r="W8" s="55">
        <v>0</v>
      </c>
      <c r="X8" s="55">
        <v>30</v>
      </c>
      <c r="Y8" s="55">
        <v>0</v>
      </c>
      <c r="Z8" s="55">
        <v>0</v>
      </c>
      <c r="AA8" s="55">
        <v>0</v>
      </c>
      <c r="AB8" s="53">
        <v>100</v>
      </c>
      <c r="AC8" s="52" t="s">
        <v>199</v>
      </c>
      <c r="AD8" s="201" t="s">
        <v>190</v>
      </c>
      <c r="AE8" s="201" t="s">
        <v>142</v>
      </c>
      <c r="AF8" s="201" t="s">
        <v>146</v>
      </c>
      <c r="AG8" s="201" t="s">
        <v>142</v>
      </c>
      <c r="AH8" s="201">
        <v>2.5</v>
      </c>
      <c r="AI8" s="55">
        <v>30</v>
      </c>
      <c r="AJ8" s="202">
        <f>Sheet_1_Table_1_138[[#This Row],[ILP Units Per Session]]*Sheet_1_Table_1_138[[#This Row],[Quota]]</f>
        <v>75</v>
      </c>
      <c r="AK8" s="428">
        <v>46324</v>
      </c>
      <c r="AL8" s="64">
        <f>WEEKDAY(Sheet_1_Table_1_138[[#This Row],[Lesson 1 
Date 
(DD-MMM-YYYY)]])</f>
        <v>5</v>
      </c>
      <c r="AM8" s="204">
        <v>0.58333333333333337</v>
      </c>
      <c r="AN8" s="205">
        <v>0.6875</v>
      </c>
      <c r="AO8" s="679" t="s">
        <v>1222</v>
      </c>
      <c r="AP8" s="680"/>
      <c r="AQ8" s="64">
        <f>WEEKDAY(Sheet_1_Table_1_138[[#This Row],[Lesson 2
Date 
(DD-MMM-YYYY)]])</f>
        <v>7</v>
      </c>
      <c r="AR8" s="65"/>
      <c r="AS8" s="66"/>
      <c r="AT8" s="66"/>
      <c r="AU8" s="203"/>
      <c r="AV8" s="165"/>
      <c r="AW8" s="204"/>
      <c r="AX8" s="205"/>
      <c r="AY8" s="207"/>
      <c r="AZ8" s="68"/>
      <c r="BA8" s="64"/>
      <c r="BB8" s="65"/>
      <c r="BC8" s="66"/>
      <c r="BD8" s="66"/>
      <c r="BE8" s="203"/>
      <c r="BF8" s="165"/>
      <c r="BG8" s="204"/>
      <c r="BH8" s="205"/>
      <c r="BI8" s="207"/>
      <c r="BJ8" s="68"/>
      <c r="BK8" s="165"/>
      <c r="BL8" s="204"/>
      <c r="BM8" s="205"/>
      <c r="BN8" s="205"/>
      <c r="BO8" s="208" t="s">
        <v>293</v>
      </c>
      <c r="BP8" s="201" t="s">
        <v>1223</v>
      </c>
      <c r="BQ8" s="201" t="s">
        <v>402</v>
      </c>
      <c r="BR8" s="473" t="s">
        <v>1224</v>
      </c>
      <c r="BS8" s="52"/>
      <c r="BT8" s="201"/>
      <c r="BU8" s="201"/>
      <c r="BV8" s="59"/>
      <c r="BW8" s="60"/>
      <c r="BX8" s="71">
        <v>100</v>
      </c>
      <c r="BY8" s="210" t="s">
        <v>149</v>
      </c>
      <c r="BZ8" s="210"/>
      <c r="CA8" s="210" t="s">
        <v>149</v>
      </c>
      <c r="CB8" s="212"/>
      <c r="CC8" s="212"/>
      <c r="CD8" s="213"/>
      <c r="CE8" s="214" t="s">
        <v>1204</v>
      </c>
      <c r="CF8" s="464" t="s">
        <v>1205</v>
      </c>
      <c r="CG8" s="60" t="s">
        <v>1174</v>
      </c>
      <c r="CH8" s="71" t="s">
        <v>1175</v>
      </c>
      <c r="CI8" s="215" t="s">
        <v>146</v>
      </c>
      <c r="CJ8" s="52" t="s">
        <v>142</v>
      </c>
      <c r="CK8" s="52" t="s">
        <v>142</v>
      </c>
      <c r="CL8" s="52" t="s">
        <v>146</v>
      </c>
      <c r="CM8" s="52" t="s">
        <v>142</v>
      </c>
      <c r="CN8" s="52" t="s">
        <v>142</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216"/>
      <c r="DH8" s="216"/>
      <c r="DI8" s="74"/>
      <c r="DJ8" s="75"/>
      <c r="DK8" s="217" t="s">
        <v>146</v>
      </c>
      <c r="DL8" s="217" t="s">
        <v>146</v>
      </c>
      <c r="DM8" s="217" t="s">
        <v>146</v>
      </c>
      <c r="DN8" s="790"/>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90">
      <c r="A9" s="48">
        <v>7</v>
      </c>
      <c r="B9" s="49">
        <v>202609</v>
      </c>
      <c r="C9" s="50" t="s">
        <v>1225</v>
      </c>
      <c r="D9" s="50" t="s">
        <v>251</v>
      </c>
      <c r="E9" s="51">
        <v>5839</v>
      </c>
      <c r="F9" s="52" t="s">
        <v>134</v>
      </c>
      <c r="G9" s="53" t="s">
        <v>712</v>
      </c>
      <c r="H9" s="675" t="s">
        <v>1163</v>
      </c>
      <c r="I9" s="676" t="s">
        <v>1164</v>
      </c>
      <c r="J9" s="683" t="s">
        <v>1226</v>
      </c>
      <c r="K9" s="55" t="s">
        <v>1227</v>
      </c>
      <c r="L9" s="55"/>
      <c r="M9" s="56" t="s">
        <v>1228</v>
      </c>
      <c r="N9" s="211" t="s">
        <v>1229</v>
      </c>
      <c r="O9" s="78" t="s">
        <v>146</v>
      </c>
      <c r="P9" s="59" t="s">
        <v>146</v>
      </c>
      <c r="Q9" s="60" t="s">
        <v>1169</v>
      </c>
      <c r="R9" s="61" t="str">
        <f>VLOOKUP(Sheet_1_Table_1_138[[#This Row],[Learning Domain]],[10]List!$A$7:$B$12,2,0)</f>
        <v>SEW</v>
      </c>
      <c r="S9" s="55">
        <v>0</v>
      </c>
      <c r="T9" s="55">
        <v>0</v>
      </c>
      <c r="U9" s="55">
        <v>0</v>
      </c>
      <c r="V9" s="55">
        <v>80</v>
      </c>
      <c r="W9" s="55"/>
      <c r="X9" s="55">
        <v>20</v>
      </c>
      <c r="Y9" s="55">
        <v>0</v>
      </c>
      <c r="Z9" s="55">
        <v>0</v>
      </c>
      <c r="AA9" s="55">
        <v>0</v>
      </c>
      <c r="AB9" s="53">
        <f>SUM(Sheet_1_Table_1_138[[#This Row],[Leadership LS]:[Career Development  CR]])</f>
        <v>100</v>
      </c>
      <c r="AC9" s="52" t="s">
        <v>144</v>
      </c>
      <c r="AD9" s="55" t="s">
        <v>386</v>
      </c>
      <c r="AE9" s="55" t="s">
        <v>142</v>
      </c>
      <c r="AF9" s="55" t="s">
        <v>146</v>
      </c>
      <c r="AG9" s="55" t="s">
        <v>142</v>
      </c>
      <c r="AH9" s="55">
        <v>1</v>
      </c>
      <c r="AI9" s="55">
        <v>200</v>
      </c>
      <c r="AJ9" s="202">
        <f>Sheet_1_Table_1_138[[#This Row],[ILP Units Per Session]]*Sheet_1_Table_1_138[[#This Row],[Quota]]</f>
        <v>200</v>
      </c>
      <c r="AK9" s="63">
        <v>46295</v>
      </c>
      <c r="AL9" s="64">
        <f>WEEKDAY(Sheet_1_Table_1_138[[#This Row],[Lesson 1 
Date 
(DD-MMM-YYYY)]])</f>
        <v>4</v>
      </c>
      <c r="AM9" s="65">
        <v>0.60416666666666663</v>
      </c>
      <c r="AN9" s="66">
        <v>0.64583333333333337</v>
      </c>
      <c r="AO9" s="67" t="s">
        <v>182</v>
      </c>
      <c r="AP9" s="68"/>
      <c r="AQ9" s="64">
        <f>WEEKDAY(Sheet_1_Table_1_138[[#This Row],[Lesson 2
Date 
(DD-MMM-YYYY)]])</f>
        <v>7</v>
      </c>
      <c r="AR9" s="65"/>
      <c r="AS9" s="66"/>
      <c r="AT9" s="66"/>
      <c r="AU9" s="63"/>
      <c r="AV9" s="165">
        <f>WEEKDAY(Sheet_1_Table_1_138[[#This Row],[Lesson 3
Date 
(DD-MMM-YYYY)]])</f>
        <v>7</v>
      </c>
      <c r="AW9" s="65"/>
      <c r="AX9" s="66"/>
      <c r="AY9" s="67"/>
      <c r="AZ9" s="68"/>
      <c r="BA9" s="64">
        <f>WEEKDAY(Sheet_1_Table_1_138[[#This Row],[Lesson 4
Date 
(DD-MMM-YYYY)]])</f>
        <v>7</v>
      </c>
      <c r="BB9" s="65"/>
      <c r="BC9" s="66"/>
      <c r="BD9" s="66"/>
      <c r="BE9" s="63"/>
      <c r="BF9" s="165">
        <f>WEEKDAY(Sheet_1_Table_1_138[[#This Row],[Lesson 5
Date 
(DD-MMM-YYYY)]])</f>
        <v>7</v>
      </c>
      <c r="BG9" s="65"/>
      <c r="BH9" s="66"/>
      <c r="BI9" s="67"/>
      <c r="BJ9" s="68"/>
      <c r="BK9" s="165">
        <f>WEEKDAY(Sheet_1_Table_1_138[[#This Row],[Lesson 6
Date 
(DD-MMM-YYYY)]])</f>
        <v>7</v>
      </c>
      <c r="BL9" s="65"/>
      <c r="BM9" s="66"/>
      <c r="BN9" s="66"/>
      <c r="BO9" s="54" t="s">
        <v>293</v>
      </c>
      <c r="BP9" s="55" t="s">
        <v>1230</v>
      </c>
      <c r="BQ9" s="55" t="s">
        <v>1231</v>
      </c>
      <c r="BR9" s="52" t="s">
        <v>1232</v>
      </c>
      <c r="BS9" s="52"/>
      <c r="BT9" s="56"/>
      <c r="BU9" s="56"/>
      <c r="BV9" s="70"/>
      <c r="BW9" s="60"/>
      <c r="BX9" s="71"/>
      <c r="BY9" s="56" t="s">
        <v>184</v>
      </c>
      <c r="BZ9" s="56"/>
      <c r="CA9" s="56" t="s">
        <v>184</v>
      </c>
      <c r="CB9" s="72"/>
      <c r="CC9" s="72"/>
      <c r="CD9" s="71"/>
      <c r="CE9" s="60" t="s">
        <v>1233</v>
      </c>
      <c r="CF9" s="71" t="s">
        <v>1234</v>
      </c>
      <c r="CG9" s="60" t="s">
        <v>1174</v>
      </c>
      <c r="CH9" s="71" t="s">
        <v>1175</v>
      </c>
      <c r="CI9" s="172" t="s">
        <v>146</v>
      </c>
      <c r="CJ9" s="52" t="s">
        <v>142</v>
      </c>
      <c r="CK9" s="52" t="s">
        <v>142</v>
      </c>
      <c r="CL9" s="17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N9" s="790"/>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20">
      <c r="A10" s="48">
        <v>8</v>
      </c>
      <c r="B10" s="49">
        <v>202609</v>
      </c>
      <c r="C10" s="50" t="s">
        <v>1235</v>
      </c>
      <c r="D10" s="50" t="s">
        <v>174</v>
      </c>
      <c r="E10" s="51">
        <v>5840</v>
      </c>
      <c r="F10" s="52" t="s">
        <v>134</v>
      </c>
      <c r="G10" s="53" t="s">
        <v>712</v>
      </c>
      <c r="H10" s="675" t="s">
        <v>1186</v>
      </c>
      <c r="I10" s="676" t="s">
        <v>1187</v>
      </c>
      <c r="J10" s="683" t="s">
        <v>1236</v>
      </c>
      <c r="K10" s="55" t="s">
        <v>1237</v>
      </c>
      <c r="L10" s="55"/>
      <c r="M10" s="56" t="s">
        <v>1238</v>
      </c>
      <c r="N10" s="57" t="s">
        <v>1239</v>
      </c>
      <c r="O10" s="78" t="s">
        <v>146</v>
      </c>
      <c r="P10" s="59" t="s">
        <v>146</v>
      </c>
      <c r="Q10" s="60" t="s">
        <v>1169</v>
      </c>
      <c r="R10" s="61" t="str">
        <f>VLOOKUP(Sheet_1_Table_1_138[[#This Row],[Learning Domain]],[10]List!$A$7:$B$12,2,0)</f>
        <v>SEW</v>
      </c>
      <c r="S10" s="55">
        <v>0</v>
      </c>
      <c r="T10" s="55">
        <v>0</v>
      </c>
      <c r="U10" s="55">
        <v>0</v>
      </c>
      <c r="V10" s="55">
        <v>80</v>
      </c>
      <c r="W10" s="55"/>
      <c r="X10" s="55">
        <v>20</v>
      </c>
      <c r="Y10" s="55">
        <v>0</v>
      </c>
      <c r="Z10" s="55">
        <v>0</v>
      </c>
      <c r="AA10" s="55">
        <v>0</v>
      </c>
      <c r="AB10" s="53">
        <f>SUM(Sheet_1_Table_1_138[[#This Row],[Leadership LS]:[Career Development  CR]])</f>
        <v>100</v>
      </c>
      <c r="AC10" s="52" t="s">
        <v>144</v>
      </c>
      <c r="AD10" s="55" t="s">
        <v>386</v>
      </c>
      <c r="AE10" s="55" t="s">
        <v>142</v>
      </c>
      <c r="AF10" s="55" t="s">
        <v>146</v>
      </c>
      <c r="AG10" s="55" t="s">
        <v>142</v>
      </c>
      <c r="AH10" s="55">
        <v>1</v>
      </c>
      <c r="AI10" s="55">
        <v>200</v>
      </c>
      <c r="AJ10" s="202">
        <f>Sheet_1_Table_1_138[[#This Row],[ILP Units Per Session]]*Sheet_1_Table_1_138[[#This Row],[Quota]]</f>
        <v>200</v>
      </c>
      <c r="AK10" s="63">
        <v>46307</v>
      </c>
      <c r="AL10" s="64">
        <f>WEEKDAY(Sheet_1_Table_1_138[[#This Row],[Lesson 1 
Date 
(DD-MMM-YYYY)]])</f>
        <v>2</v>
      </c>
      <c r="AM10" s="65">
        <v>0.60416666666666663</v>
      </c>
      <c r="AN10" s="684">
        <v>0.64583333333333337</v>
      </c>
      <c r="AO10" s="67" t="s">
        <v>182</v>
      </c>
      <c r="AP10" s="68"/>
      <c r="AQ10" s="64">
        <f>WEEKDAY(Sheet_1_Table_1_138[[#This Row],[Lesson 2
Date 
(DD-MMM-YYYY)]])</f>
        <v>7</v>
      </c>
      <c r="AR10" s="65"/>
      <c r="AS10" s="66"/>
      <c r="AT10" s="66"/>
      <c r="AU10" s="63"/>
      <c r="AV10" s="165">
        <f>WEEKDAY(Sheet_1_Table_1_138[[#This Row],[Lesson 3
Date 
(DD-MMM-YYYY)]])</f>
        <v>7</v>
      </c>
      <c r="AW10" s="65"/>
      <c r="AX10" s="66"/>
      <c r="AY10" s="67"/>
      <c r="AZ10" s="68"/>
      <c r="BA10" s="64">
        <f>WEEKDAY(Sheet_1_Table_1_138[[#This Row],[Lesson 4
Date 
(DD-MMM-YYYY)]])</f>
        <v>7</v>
      </c>
      <c r="BB10" s="65"/>
      <c r="BC10" s="66"/>
      <c r="BD10" s="66"/>
      <c r="BE10" s="63"/>
      <c r="BF10" s="165">
        <f>WEEKDAY(Sheet_1_Table_1_138[[#This Row],[Lesson 5
Date 
(DD-MMM-YYYY)]])</f>
        <v>7</v>
      </c>
      <c r="BG10" s="65"/>
      <c r="BH10" s="66"/>
      <c r="BI10" s="67"/>
      <c r="BJ10" s="68"/>
      <c r="BK10" s="165">
        <f>WEEKDAY(Sheet_1_Table_1_138[[#This Row],[Lesson 6
Date 
(DD-MMM-YYYY)]])</f>
        <v>7</v>
      </c>
      <c r="BL10" s="65"/>
      <c r="BM10" s="66"/>
      <c r="BN10" s="66"/>
      <c r="BO10" s="54" t="s">
        <v>293</v>
      </c>
      <c r="BP10" s="55" t="s">
        <v>1230</v>
      </c>
      <c r="BQ10" s="55" t="s">
        <v>1231</v>
      </c>
      <c r="BR10" s="52" t="s">
        <v>1232</v>
      </c>
      <c r="BS10" s="52"/>
      <c r="BT10" s="56"/>
      <c r="BU10" s="56"/>
      <c r="BV10" s="70"/>
      <c r="BW10" s="60"/>
      <c r="BX10" s="71"/>
      <c r="BY10" s="56" t="s">
        <v>149</v>
      </c>
      <c r="BZ10" s="56"/>
      <c r="CA10" s="56" t="s">
        <v>149</v>
      </c>
      <c r="CB10" s="72"/>
      <c r="CC10" s="72"/>
      <c r="CD10" s="71"/>
      <c r="CE10" s="60" t="s">
        <v>1233</v>
      </c>
      <c r="CF10" s="71" t="s">
        <v>1234</v>
      </c>
      <c r="CG10" s="60" t="s">
        <v>1174</v>
      </c>
      <c r="CH10" s="71" t="s">
        <v>1175</v>
      </c>
      <c r="CI10" s="172" t="s">
        <v>146</v>
      </c>
      <c r="CJ10" s="52" t="s">
        <v>142</v>
      </c>
      <c r="CK10" s="52" t="s">
        <v>142</v>
      </c>
      <c r="CL10" s="172" t="s">
        <v>146</v>
      </c>
      <c r="CM10" s="52" t="s">
        <v>142</v>
      </c>
      <c r="CN10" s="52" t="s">
        <v>142</v>
      </c>
      <c r="CO10" s="52" t="s">
        <v>142</v>
      </c>
      <c r="CP10" s="52" t="s">
        <v>142</v>
      </c>
      <c r="CQ10" s="52" t="s">
        <v>142</v>
      </c>
      <c r="CR10" s="52" t="s">
        <v>142</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N10" s="790"/>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120">
      <c r="A11" s="48">
        <v>9</v>
      </c>
      <c r="B11" s="49">
        <v>202609</v>
      </c>
      <c r="C11" s="50" t="s">
        <v>1240</v>
      </c>
      <c r="D11" s="50" t="s">
        <v>174</v>
      </c>
      <c r="E11" s="51">
        <v>5841</v>
      </c>
      <c r="F11" s="52" t="s">
        <v>134</v>
      </c>
      <c r="G11" s="53" t="s">
        <v>712</v>
      </c>
      <c r="H11" s="675" t="s">
        <v>1186</v>
      </c>
      <c r="I11" s="676" t="s">
        <v>1187</v>
      </c>
      <c r="J11" s="152" t="s">
        <v>1241</v>
      </c>
      <c r="K11" s="55" t="s">
        <v>1242</v>
      </c>
      <c r="L11" s="55"/>
      <c r="M11" s="56" t="s">
        <v>1243</v>
      </c>
      <c r="N11" s="57" t="s">
        <v>1244</v>
      </c>
      <c r="O11" s="78" t="s">
        <v>146</v>
      </c>
      <c r="P11" s="59" t="s">
        <v>146</v>
      </c>
      <c r="Q11" s="60" t="s">
        <v>1169</v>
      </c>
      <c r="R11" s="77" t="str">
        <f>VLOOKUP(Sheet_1_Table_1_138[[#This Row],[Learning Domain]],[10]List!$A$7:$B$12,2,0)</f>
        <v>SEW</v>
      </c>
      <c r="S11" s="55">
        <v>0</v>
      </c>
      <c r="T11" s="55">
        <v>0</v>
      </c>
      <c r="U11" s="55">
        <v>0</v>
      </c>
      <c r="V11" s="55">
        <v>80</v>
      </c>
      <c r="W11" s="55">
        <v>0</v>
      </c>
      <c r="X11" s="55">
        <v>20</v>
      </c>
      <c r="Y11" s="55">
        <v>0</v>
      </c>
      <c r="Z11" s="55">
        <v>0</v>
      </c>
      <c r="AA11" s="55">
        <v>0</v>
      </c>
      <c r="AB11" s="53">
        <f>SUM(Sheet_1_Table_1_138[[#This Row],[Leadership LS]:[Career Development  CR]])</f>
        <v>100</v>
      </c>
      <c r="AC11" s="52" t="s">
        <v>144</v>
      </c>
      <c r="AD11" s="55" t="s">
        <v>386</v>
      </c>
      <c r="AE11" s="55" t="s">
        <v>146</v>
      </c>
      <c r="AF11" s="55" t="s">
        <v>142</v>
      </c>
      <c r="AG11" s="55" t="s">
        <v>142</v>
      </c>
      <c r="AH11" s="55">
        <v>1</v>
      </c>
      <c r="AI11" s="55">
        <v>200</v>
      </c>
      <c r="AJ11" s="202">
        <f>Sheet_1_Table_1_138[[#This Row],[ILP Units Per Session]]*Sheet_1_Table_1_138[[#This Row],[Quota]]</f>
        <v>200</v>
      </c>
      <c r="AK11" s="63">
        <v>46325</v>
      </c>
      <c r="AL11" s="64">
        <f>WEEKDAY(Sheet_1_Table_1_138[[#This Row],[Lesson 1 
Date 
(DD-MMM-YYYY)]])</f>
        <v>6</v>
      </c>
      <c r="AM11" s="65">
        <v>0.60416666666666663</v>
      </c>
      <c r="AN11" s="66">
        <v>0.64583333333333337</v>
      </c>
      <c r="AO11" s="67" t="s">
        <v>182</v>
      </c>
      <c r="AP11" s="68"/>
      <c r="AQ11" s="64">
        <f>WEEKDAY(Sheet_1_Table_1_138[[#This Row],[Lesson 2
Date 
(DD-MMM-YYYY)]])</f>
        <v>7</v>
      </c>
      <c r="AR11" s="65"/>
      <c r="AS11" s="66"/>
      <c r="AT11" s="66"/>
      <c r="AU11" s="63"/>
      <c r="AV11" s="64">
        <f>WEEKDAY(Sheet_1_Table_1_138[[#This Row],[Lesson 3
Date 
(DD-MMM-YYYY)]])</f>
        <v>7</v>
      </c>
      <c r="AW11" s="65"/>
      <c r="AX11" s="66"/>
      <c r="AY11" s="67"/>
      <c r="AZ11" s="68"/>
      <c r="BA11" s="64">
        <f>WEEKDAY(Sheet_1_Table_1_138[[#This Row],[Lesson 4
Date 
(DD-MMM-YYYY)]])</f>
        <v>7</v>
      </c>
      <c r="BB11" s="65"/>
      <c r="BC11" s="66"/>
      <c r="BD11" s="66"/>
      <c r="BE11" s="63"/>
      <c r="BF11" s="64">
        <f>WEEKDAY(Sheet_1_Table_1_138[[#This Row],[Lesson 5
Date 
(DD-MMM-YYYY)]])</f>
        <v>7</v>
      </c>
      <c r="BG11" s="65"/>
      <c r="BH11" s="66"/>
      <c r="BI11" s="67"/>
      <c r="BJ11" s="68"/>
      <c r="BK11" s="64">
        <f>WEEKDAY(Sheet_1_Table_1_138[[#This Row],[Lesson 6
Date 
(DD-MMM-YYYY)]])</f>
        <v>7</v>
      </c>
      <c r="BL11" s="65"/>
      <c r="BM11" s="66"/>
      <c r="BN11" s="66"/>
      <c r="BO11" s="54" t="s">
        <v>293</v>
      </c>
      <c r="BP11" s="55" t="s">
        <v>1230</v>
      </c>
      <c r="BQ11" s="55" t="s">
        <v>1231</v>
      </c>
      <c r="BR11" s="52" t="s">
        <v>1232</v>
      </c>
      <c r="BS11" s="52"/>
      <c r="BT11" s="56"/>
      <c r="BU11" s="56"/>
      <c r="BV11" s="70"/>
      <c r="BW11" s="60"/>
      <c r="BX11" s="71"/>
      <c r="BY11" s="56" t="s">
        <v>184</v>
      </c>
      <c r="BZ11" s="56"/>
      <c r="CA11" s="56" t="s">
        <v>184</v>
      </c>
      <c r="CB11" s="72"/>
      <c r="CC11" s="72"/>
      <c r="CD11" s="71"/>
      <c r="CE11" s="60" t="s">
        <v>1233</v>
      </c>
      <c r="CF11" s="71" t="s">
        <v>1234</v>
      </c>
      <c r="CG11" s="60" t="s">
        <v>1174</v>
      </c>
      <c r="CH11" s="71" t="s">
        <v>1175</v>
      </c>
      <c r="CI11" s="172" t="s">
        <v>146</v>
      </c>
      <c r="CJ11" s="52" t="s">
        <v>142</v>
      </c>
      <c r="CK11" s="52" t="s">
        <v>142</v>
      </c>
      <c r="CL11" s="172" t="s">
        <v>146</v>
      </c>
      <c r="CM11" s="52" t="s">
        <v>142</v>
      </c>
      <c r="CN11" s="52" t="s">
        <v>142</v>
      </c>
      <c r="CO11" s="52" t="s">
        <v>142</v>
      </c>
      <c r="CP11" s="52" t="s">
        <v>142</v>
      </c>
      <c r="CQ11" s="52" t="s">
        <v>142</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N11" s="790"/>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135">
      <c r="A12" s="48">
        <v>10</v>
      </c>
      <c r="B12" s="49">
        <v>202609</v>
      </c>
      <c r="C12" s="50" t="s">
        <v>1245</v>
      </c>
      <c r="D12" s="50" t="s">
        <v>174</v>
      </c>
      <c r="E12" s="51">
        <v>5842</v>
      </c>
      <c r="F12" s="52" t="s">
        <v>134</v>
      </c>
      <c r="G12" s="53" t="s">
        <v>712</v>
      </c>
      <c r="H12" s="172" t="s">
        <v>1246</v>
      </c>
      <c r="I12" s="676" t="s">
        <v>1247</v>
      </c>
      <c r="J12" s="683" t="s">
        <v>1248</v>
      </c>
      <c r="K12" s="55" t="s">
        <v>1249</v>
      </c>
      <c r="L12" s="55"/>
      <c r="M12" s="56" t="s">
        <v>1250</v>
      </c>
      <c r="N12" s="57" t="s">
        <v>1251</v>
      </c>
      <c r="O12" s="78" t="s">
        <v>146</v>
      </c>
      <c r="P12" s="59" t="s">
        <v>146</v>
      </c>
      <c r="Q12" s="60" t="s">
        <v>1169</v>
      </c>
      <c r="R12" s="61" t="str">
        <f>VLOOKUP(Sheet_1_Table_1_138[[#This Row],[Learning Domain]],[10]List!$A$7:$B$12,2,0)</f>
        <v>SEW</v>
      </c>
      <c r="S12" s="55">
        <v>0</v>
      </c>
      <c r="T12" s="55">
        <v>0</v>
      </c>
      <c r="U12" s="55">
        <v>0</v>
      </c>
      <c r="V12" s="55">
        <v>60</v>
      </c>
      <c r="W12" s="55">
        <v>0</v>
      </c>
      <c r="X12" s="55">
        <v>0</v>
      </c>
      <c r="Y12" s="55">
        <v>0</v>
      </c>
      <c r="Z12" s="55">
        <v>40</v>
      </c>
      <c r="AA12" s="55">
        <v>0</v>
      </c>
      <c r="AB12" s="53">
        <f>SUM(Sheet_1_Table_1_138[[#This Row],[Leadership LS]:[Career Development  CR]])</f>
        <v>100</v>
      </c>
      <c r="AC12" s="52" t="s">
        <v>144</v>
      </c>
      <c r="AD12" s="55" t="s">
        <v>386</v>
      </c>
      <c r="AE12" s="55" t="s">
        <v>142</v>
      </c>
      <c r="AF12" s="55" t="s">
        <v>146</v>
      </c>
      <c r="AG12" s="55" t="s">
        <v>142</v>
      </c>
      <c r="AH12" s="55">
        <v>1</v>
      </c>
      <c r="AI12" s="55">
        <v>200</v>
      </c>
      <c r="AJ12" s="202">
        <f>Sheet_1_Table_1_138[[#This Row],[ILP Units Per Session]]*Sheet_1_Table_1_138[[#This Row],[Quota]]</f>
        <v>200</v>
      </c>
      <c r="AK12" s="63">
        <v>46300</v>
      </c>
      <c r="AL12" s="64">
        <f>WEEKDAY(Sheet_1_Table_1_138[[#This Row],[Lesson 1 
Date 
(DD-MMM-YYYY)]])</f>
        <v>2</v>
      </c>
      <c r="AM12" s="65">
        <v>0.60416666666666663</v>
      </c>
      <c r="AN12" s="66">
        <v>0.66666666666666663</v>
      </c>
      <c r="AO12" s="67" t="s">
        <v>1252</v>
      </c>
      <c r="AP12" s="68"/>
      <c r="AQ12" s="64">
        <f>WEEKDAY(Sheet_1_Table_1_138[[#This Row],[Lesson 2
Date 
(DD-MMM-YYYY)]])</f>
        <v>7</v>
      </c>
      <c r="AR12" s="65"/>
      <c r="AS12" s="66"/>
      <c r="AT12" s="66"/>
      <c r="AU12" s="63"/>
      <c r="AV12" s="64">
        <f>WEEKDAY(Sheet_1_Table_1_138[[#This Row],[Lesson 3
Date 
(DD-MMM-YYYY)]])</f>
        <v>7</v>
      </c>
      <c r="AW12" s="65"/>
      <c r="AX12" s="66"/>
      <c r="AY12" s="67"/>
      <c r="AZ12" s="68"/>
      <c r="BA12" s="64">
        <f>WEEKDAY(Sheet_1_Table_1_138[[#This Row],[Lesson 4
Date 
(DD-MMM-YYYY)]])</f>
        <v>7</v>
      </c>
      <c r="BB12" s="65"/>
      <c r="BC12" s="66"/>
      <c r="BD12" s="66"/>
      <c r="BE12" s="63"/>
      <c r="BF12" s="64">
        <f>WEEKDAY(Sheet_1_Table_1_138[[#This Row],[Lesson 5
Date 
(DD-MMM-YYYY)]])</f>
        <v>7</v>
      </c>
      <c r="BG12" s="65"/>
      <c r="BH12" s="66"/>
      <c r="BI12" s="67"/>
      <c r="BJ12" s="68"/>
      <c r="BK12" s="64">
        <f>WEEKDAY(Sheet_1_Table_1_138[[#This Row],[Lesson 6
Date 
(DD-MMM-YYYY)]])</f>
        <v>7</v>
      </c>
      <c r="BL12" s="65"/>
      <c r="BM12" s="66"/>
      <c r="BN12" s="66"/>
      <c r="BO12" s="54" t="s">
        <v>163</v>
      </c>
      <c r="BP12" s="55" t="s">
        <v>1253</v>
      </c>
      <c r="BQ12" s="55" t="s">
        <v>1254</v>
      </c>
      <c r="BR12" s="53" t="s">
        <v>1255</v>
      </c>
      <c r="BS12" s="52"/>
      <c r="BT12" s="56"/>
      <c r="BU12" s="56"/>
      <c r="BV12" s="70"/>
      <c r="BW12" s="60"/>
      <c r="BX12" s="71"/>
      <c r="BY12" s="56" t="s">
        <v>149</v>
      </c>
      <c r="BZ12" s="56"/>
      <c r="CA12" s="56" t="s">
        <v>149</v>
      </c>
      <c r="CB12" s="72"/>
      <c r="CC12" s="72"/>
      <c r="CD12" s="71"/>
      <c r="CE12" s="60" t="s">
        <v>1256</v>
      </c>
      <c r="CF12" s="164" t="s">
        <v>1257</v>
      </c>
      <c r="CG12" s="60" t="s">
        <v>1174</v>
      </c>
      <c r="CH12" s="71" t="s">
        <v>1175</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N12" s="790"/>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135">
      <c r="A13" s="48">
        <v>11</v>
      </c>
      <c r="B13" s="49">
        <v>202609</v>
      </c>
      <c r="C13" s="50" t="s">
        <v>1258</v>
      </c>
      <c r="D13" s="50" t="s">
        <v>174</v>
      </c>
      <c r="E13" s="51">
        <v>5843</v>
      </c>
      <c r="F13" s="52" t="s">
        <v>134</v>
      </c>
      <c r="G13" s="53" t="s">
        <v>712</v>
      </c>
      <c r="H13" s="172" t="s">
        <v>1246</v>
      </c>
      <c r="I13" s="676" t="s">
        <v>1247</v>
      </c>
      <c r="J13" s="434" t="s">
        <v>1259</v>
      </c>
      <c r="K13" s="55" t="s">
        <v>1260</v>
      </c>
      <c r="L13" s="55"/>
      <c r="M13" s="56" t="s">
        <v>1261</v>
      </c>
      <c r="N13" s="57" t="s">
        <v>1262</v>
      </c>
      <c r="O13" s="78" t="s">
        <v>146</v>
      </c>
      <c r="P13" s="59" t="s">
        <v>146</v>
      </c>
      <c r="Q13" s="60" t="s">
        <v>1169</v>
      </c>
      <c r="R13" s="77" t="str">
        <f>VLOOKUP(Sheet_1_Table_1_138[[#This Row],[Learning Domain]],[10]List!$A$7:$B$12,2,0)</f>
        <v>SEW</v>
      </c>
      <c r="S13" s="55">
        <v>0</v>
      </c>
      <c r="T13" s="55">
        <v>0</v>
      </c>
      <c r="U13" s="55">
        <v>0</v>
      </c>
      <c r="V13" s="55">
        <v>100</v>
      </c>
      <c r="W13" s="55">
        <v>0</v>
      </c>
      <c r="X13" s="55">
        <v>0</v>
      </c>
      <c r="Y13" s="55">
        <v>0</v>
      </c>
      <c r="Z13" s="55">
        <v>0</v>
      </c>
      <c r="AA13" s="55">
        <v>0</v>
      </c>
      <c r="AB13" s="53">
        <f>SUM(Sheet_1_Table_1_138[[#This Row],[Leadership LS]:[Career Development  CR]])</f>
        <v>100</v>
      </c>
      <c r="AC13" s="52" t="s">
        <v>144</v>
      </c>
      <c r="AD13" s="55" t="s">
        <v>386</v>
      </c>
      <c r="AE13" s="55" t="s">
        <v>146</v>
      </c>
      <c r="AF13" s="55" t="s">
        <v>788</v>
      </c>
      <c r="AG13" s="55" t="s">
        <v>142</v>
      </c>
      <c r="AH13" s="55">
        <v>1</v>
      </c>
      <c r="AI13" s="55">
        <v>200</v>
      </c>
      <c r="AJ13" s="202">
        <f>Sheet_1_Table_1_138[[#This Row],[ILP Units Per Session]]*Sheet_1_Table_1_138[[#This Row],[Quota]]</f>
        <v>200</v>
      </c>
      <c r="AK13" s="63">
        <v>46309</v>
      </c>
      <c r="AL13" s="64">
        <f>WEEKDAY(Sheet_1_Table_1_138[[#This Row],[Lesson 1 
Date 
(DD-MMM-YYYY)]])</f>
        <v>4</v>
      </c>
      <c r="AM13" s="65">
        <v>0.60416666666666663</v>
      </c>
      <c r="AN13" s="66">
        <v>0.64583333333333337</v>
      </c>
      <c r="AO13" s="67" t="s">
        <v>1252</v>
      </c>
      <c r="AP13" s="68"/>
      <c r="AQ13" s="64">
        <f>WEEKDAY(Sheet_1_Table_1_138[[#This Row],[Lesson 2
Date 
(DD-MMM-YYYY)]])</f>
        <v>7</v>
      </c>
      <c r="AR13" s="65"/>
      <c r="AS13" s="66"/>
      <c r="AT13" s="66"/>
      <c r="AU13" s="63"/>
      <c r="AV13" s="64">
        <f>WEEKDAY(Sheet_1_Table_1_138[[#This Row],[Lesson 3
Date 
(DD-MMM-YYYY)]])</f>
        <v>7</v>
      </c>
      <c r="AW13" s="65"/>
      <c r="AX13" s="66"/>
      <c r="AY13" s="67"/>
      <c r="AZ13" s="68"/>
      <c r="BA13" s="64">
        <f>WEEKDAY(Sheet_1_Table_1_138[[#This Row],[Lesson 4
Date 
(DD-MMM-YYYY)]])</f>
        <v>7</v>
      </c>
      <c r="BB13" s="65"/>
      <c r="BC13" s="66"/>
      <c r="BD13" s="66"/>
      <c r="BE13" s="63"/>
      <c r="BF13" s="64">
        <f>WEEKDAY(Sheet_1_Table_1_138[[#This Row],[Lesson 5
Date 
(DD-MMM-YYYY)]])</f>
        <v>7</v>
      </c>
      <c r="BG13" s="65"/>
      <c r="BH13" s="66"/>
      <c r="BI13" s="67"/>
      <c r="BJ13" s="68"/>
      <c r="BK13" s="64">
        <f>WEEKDAY(Sheet_1_Table_1_138[[#This Row],[Lesson 6
Date 
(DD-MMM-YYYY)]])</f>
        <v>7</v>
      </c>
      <c r="BL13" s="65"/>
      <c r="BM13" s="66"/>
      <c r="BN13" s="66"/>
      <c r="BO13" s="54" t="s">
        <v>289</v>
      </c>
      <c r="BP13" s="55" t="s">
        <v>1263</v>
      </c>
      <c r="BQ13" s="55" t="s">
        <v>1264</v>
      </c>
      <c r="BR13" s="53" t="s">
        <v>1265</v>
      </c>
      <c r="BS13" s="52"/>
      <c r="BT13" s="56"/>
      <c r="BU13" s="56"/>
      <c r="BV13" s="70"/>
      <c r="BW13" s="60"/>
      <c r="BX13" s="71"/>
      <c r="BY13" s="56"/>
      <c r="BZ13" s="56"/>
      <c r="CA13" s="56"/>
      <c r="CB13" s="72"/>
      <c r="CC13" s="72"/>
      <c r="CD13" s="71"/>
      <c r="CE13" s="60" t="s">
        <v>1256</v>
      </c>
      <c r="CF13" s="164" t="s">
        <v>1257</v>
      </c>
      <c r="CG13" s="60" t="s">
        <v>1174</v>
      </c>
      <c r="CH13" s="71" t="s">
        <v>1175</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N13" s="790"/>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225">
      <c r="A14" s="48">
        <v>12</v>
      </c>
      <c r="B14" s="49">
        <v>202609</v>
      </c>
      <c r="C14" s="50" t="s">
        <v>1266</v>
      </c>
      <c r="D14" s="50" t="s">
        <v>251</v>
      </c>
      <c r="E14" s="51">
        <v>5844</v>
      </c>
      <c r="F14" s="52" t="s">
        <v>134</v>
      </c>
      <c r="G14" s="53" t="s">
        <v>712</v>
      </c>
      <c r="H14" s="675" t="s">
        <v>1163</v>
      </c>
      <c r="I14" s="676" t="s">
        <v>1164</v>
      </c>
      <c r="J14" s="290" t="s">
        <v>1267</v>
      </c>
      <c r="K14" s="290" t="s">
        <v>1268</v>
      </c>
      <c r="L14" s="55"/>
      <c r="M14" s="777" t="s">
        <v>1269</v>
      </c>
      <c r="N14" s="211" t="s">
        <v>1270</v>
      </c>
      <c r="O14" s="78" t="s">
        <v>146</v>
      </c>
      <c r="P14" s="59" t="s">
        <v>146</v>
      </c>
      <c r="Q14" s="60" t="s">
        <v>1169</v>
      </c>
      <c r="R14" s="77" t="s">
        <v>1271</v>
      </c>
      <c r="S14" s="55">
        <v>0</v>
      </c>
      <c r="T14" s="55">
        <v>0</v>
      </c>
      <c r="U14" s="55">
        <v>0</v>
      </c>
      <c r="V14" s="55">
        <v>100</v>
      </c>
      <c r="W14" s="55">
        <v>0</v>
      </c>
      <c r="X14" s="55">
        <v>0</v>
      </c>
      <c r="Y14" s="55">
        <v>0</v>
      </c>
      <c r="Z14" s="55">
        <v>0</v>
      </c>
      <c r="AA14" s="55">
        <v>0</v>
      </c>
      <c r="AB14" s="53">
        <v>100</v>
      </c>
      <c r="AC14" s="52" t="s">
        <v>144</v>
      </c>
      <c r="AD14" s="55" t="s">
        <v>386</v>
      </c>
      <c r="AE14" s="55" t="s">
        <v>142</v>
      </c>
      <c r="AF14" s="55" t="s">
        <v>146</v>
      </c>
      <c r="AG14" s="55" t="s">
        <v>142</v>
      </c>
      <c r="AH14" s="55">
        <v>1</v>
      </c>
      <c r="AI14" s="55">
        <v>150</v>
      </c>
      <c r="AJ14" s="202">
        <f>Sheet_1_Table_1_138[[#This Row],[ILP Units Per Session]]*Sheet_1_Table_1_138[[#This Row],[Quota]]</f>
        <v>150</v>
      </c>
      <c r="AK14" s="63">
        <v>46293</v>
      </c>
      <c r="AL14" s="64">
        <f>WEEKDAY(Sheet_1_Table_1_138[[#This Row],[Lesson 1 
Date 
(DD-MMM-YYYY)]])</f>
        <v>2</v>
      </c>
      <c r="AM14" s="65">
        <v>0.625</v>
      </c>
      <c r="AN14" s="66">
        <v>0.66666666666666663</v>
      </c>
      <c r="AO14" s="67" t="s">
        <v>1252</v>
      </c>
      <c r="AP14" s="677"/>
      <c r="AQ14" s="64" t="e">
        <f>WEEKDAY([11]!Sheet_1_Table_1_13[[#This Row],[Lesson 2
Date 
(DD-MMM-YYYY)]])</f>
        <v>#REF!</v>
      </c>
      <c r="AR14" s="65"/>
      <c r="AS14" s="66"/>
      <c r="AT14" s="66"/>
      <c r="AU14" s="63"/>
      <c r="AV14" s="64" t="e">
        <f>WEEKDAY([11]!Sheet_1_Table_1_13[[#This Row],[Lesson 3
Date 
(DD-MMM-YYYY)]])</f>
        <v>#REF!</v>
      </c>
      <c r="AW14" s="65"/>
      <c r="AX14" s="66"/>
      <c r="AY14" s="67"/>
      <c r="AZ14" s="68"/>
      <c r="BA14" s="64" t="e">
        <f>WEEKDAY([11]!Sheet_1_Table_1_13[[#This Row],[Lesson 4
Date 
(DD-MMM-YYYY)]])</f>
        <v>#REF!</v>
      </c>
      <c r="BB14" s="65"/>
      <c r="BC14" s="66"/>
      <c r="BD14" s="66"/>
      <c r="BE14" s="63"/>
      <c r="BF14" s="64" t="e">
        <f>WEEKDAY([11]!Sheet_1_Table_1_13[[#This Row],[Lesson 5
Date 
(DD-MMM-YYYY)]])</f>
        <v>#REF!</v>
      </c>
      <c r="BG14" s="65"/>
      <c r="BH14" s="66"/>
      <c r="BI14" s="67"/>
      <c r="BJ14" s="68"/>
      <c r="BK14" s="64" t="e">
        <f>WEEKDAY([11]!Sheet_1_Table_1_13[[#This Row],[Lesson 6
Date 
(DD-MMM-YYYY)]])</f>
        <v>#REF!</v>
      </c>
      <c r="BL14" s="65"/>
      <c r="BM14" s="66"/>
      <c r="BN14" s="66"/>
      <c r="BO14" s="54" t="s">
        <v>289</v>
      </c>
      <c r="BP14" s="55" t="s">
        <v>1272</v>
      </c>
      <c r="BQ14" s="55" t="s">
        <v>1273</v>
      </c>
      <c r="BR14" s="57" t="s">
        <v>1274</v>
      </c>
      <c r="BS14" s="52"/>
      <c r="BT14" s="56"/>
      <c r="BU14" s="56"/>
      <c r="BV14" s="70"/>
      <c r="BW14" s="60"/>
      <c r="BX14" s="71"/>
      <c r="BY14" s="56"/>
      <c r="BZ14" s="56"/>
      <c r="CA14" s="56"/>
      <c r="CB14" s="72"/>
      <c r="CC14" s="72"/>
      <c r="CD14" s="71"/>
      <c r="CE14" s="60" t="s">
        <v>1256</v>
      </c>
      <c r="CF14" s="164" t="s">
        <v>1257</v>
      </c>
      <c r="CG14" s="60" t="s">
        <v>1174</v>
      </c>
      <c r="CH14" s="71" t="s">
        <v>1175</v>
      </c>
      <c r="CI14" s="52" t="s">
        <v>146</v>
      </c>
      <c r="CJ14" s="52" t="s">
        <v>142</v>
      </c>
      <c r="CK14" s="52" t="s">
        <v>142</v>
      </c>
      <c r="CL14" s="52" t="s">
        <v>142</v>
      </c>
      <c r="CM14" s="52" t="s">
        <v>142</v>
      </c>
      <c r="CN14" s="52" t="s">
        <v>146</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N14" s="790"/>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285">
      <c r="A15" s="48">
        <v>13</v>
      </c>
      <c r="B15" s="49">
        <v>202609</v>
      </c>
      <c r="C15" s="50" t="s">
        <v>1275</v>
      </c>
      <c r="D15" s="50" t="s">
        <v>251</v>
      </c>
      <c r="E15" s="51">
        <v>5845</v>
      </c>
      <c r="F15" s="52" t="s">
        <v>134</v>
      </c>
      <c r="G15" s="53" t="s">
        <v>712</v>
      </c>
      <c r="H15" s="675" t="s">
        <v>1276</v>
      </c>
      <c r="I15" s="676" t="s">
        <v>1277</v>
      </c>
      <c r="J15" s="141" t="s">
        <v>1278</v>
      </c>
      <c r="K15" s="69" t="s">
        <v>1279</v>
      </c>
      <c r="L15" s="55"/>
      <c r="M15" s="56" t="s">
        <v>1280</v>
      </c>
      <c r="N15" s="57" t="s">
        <v>1281</v>
      </c>
      <c r="O15" s="58" t="s">
        <v>146</v>
      </c>
      <c r="P15" s="59" t="s">
        <v>146</v>
      </c>
      <c r="Q15" s="60" t="s">
        <v>1169</v>
      </c>
      <c r="R15" s="61" t="s">
        <v>1271</v>
      </c>
      <c r="S15" s="55">
        <v>0</v>
      </c>
      <c r="T15" s="55">
        <v>0</v>
      </c>
      <c r="U15" s="55">
        <v>0</v>
      </c>
      <c r="V15" s="55">
        <v>100</v>
      </c>
      <c r="W15" s="55">
        <v>0</v>
      </c>
      <c r="X15" s="55">
        <v>0</v>
      </c>
      <c r="Y15" s="55">
        <v>0</v>
      </c>
      <c r="Z15" s="55">
        <v>0</v>
      </c>
      <c r="AA15" s="55">
        <v>0</v>
      </c>
      <c r="AB15" s="53">
        <v>100</v>
      </c>
      <c r="AC15" s="52" t="s">
        <v>199</v>
      </c>
      <c r="AD15" s="55" t="s">
        <v>190</v>
      </c>
      <c r="AE15" s="55" t="s">
        <v>142</v>
      </c>
      <c r="AF15" s="55" t="s">
        <v>146</v>
      </c>
      <c r="AG15" s="55" t="s">
        <v>142</v>
      </c>
      <c r="AH15" s="55">
        <v>2</v>
      </c>
      <c r="AI15" s="55">
        <v>20</v>
      </c>
      <c r="AJ15" s="202">
        <f>Sheet_1_Table_1_138[[#This Row],[ILP Units Per Session]]*Sheet_1_Table_1_138[[#This Row],[Quota]]</f>
        <v>40</v>
      </c>
      <c r="AK15" s="63">
        <v>46287</v>
      </c>
      <c r="AL15" s="64">
        <f>WEEKDAY(Sheet_1_Table_1_138[[#This Row],[Lesson 1 
Date 
(DD-MMM-YYYY)]])</f>
        <v>3</v>
      </c>
      <c r="AM15" s="65">
        <v>0.58333333333333337</v>
      </c>
      <c r="AN15" s="66">
        <v>0.66666666666666663</v>
      </c>
      <c r="AO15" s="679" t="s">
        <v>1181</v>
      </c>
      <c r="AP15" s="680"/>
      <c r="AQ15" s="64">
        <f>WEEKDAY(Sheet_1_Table_1_138[[#This Row],[Lesson 2
Date 
(DD-MMM-YYYY)]])</f>
        <v>7</v>
      </c>
      <c r="AR15" s="65"/>
      <c r="AS15" s="66"/>
      <c r="AT15" s="66"/>
      <c r="AU15" s="63"/>
      <c r="AV15" s="64" t="e">
        <f>WEEKDAY([12]!Sheet_1_Table_1_13[[#This Row],[Lesson 3
Date 
(DD-MMM-YYYY)]])</f>
        <v>#REF!</v>
      </c>
      <c r="AW15" s="65"/>
      <c r="AX15" s="66"/>
      <c r="AY15" s="67"/>
      <c r="AZ15" s="68"/>
      <c r="BA15" s="64" t="e">
        <f>WEEKDAY([12]!Sheet_1_Table_1_13[[#This Row],[Lesson 4
Date 
(DD-MMM-YYYY)]])</f>
        <v>#REF!</v>
      </c>
      <c r="BB15" s="65"/>
      <c r="BC15" s="66"/>
      <c r="BD15" s="66"/>
      <c r="BE15" s="63"/>
      <c r="BF15" s="64" t="e">
        <f>WEEKDAY([12]!Sheet_1_Table_1_13[[#This Row],[Lesson 5
Date 
(DD-MMM-YYYY)]])</f>
        <v>#REF!</v>
      </c>
      <c r="BG15" s="65"/>
      <c r="BH15" s="66"/>
      <c r="BI15" s="67"/>
      <c r="BJ15" s="68"/>
      <c r="BK15" s="64" t="e">
        <f>WEEKDAY([12]!Sheet_1_Table_1_13[[#This Row],[Lesson 6
Date 
(DD-MMM-YYYY)]])</f>
        <v>#REF!</v>
      </c>
      <c r="BL15" s="65"/>
      <c r="BM15" s="66"/>
      <c r="BN15" s="66"/>
      <c r="BO15" s="54" t="s">
        <v>163</v>
      </c>
      <c r="BP15" s="83" t="s">
        <v>1282</v>
      </c>
      <c r="BQ15" s="55" t="s">
        <v>165</v>
      </c>
      <c r="BR15" s="57" t="s">
        <v>1283</v>
      </c>
      <c r="BS15" s="52"/>
      <c r="BT15" s="56"/>
      <c r="BU15" s="56"/>
      <c r="BV15" s="70"/>
      <c r="BW15" s="60"/>
      <c r="BX15" s="71"/>
      <c r="BY15" s="56"/>
      <c r="BZ15" s="56"/>
      <c r="CA15" s="56"/>
      <c r="CB15" s="72"/>
      <c r="CC15" s="72"/>
      <c r="CD15" s="71"/>
      <c r="CE15" s="60" t="s">
        <v>1284</v>
      </c>
      <c r="CF15" s="164" t="s">
        <v>1285</v>
      </c>
      <c r="CG15" s="60" t="s">
        <v>1174</v>
      </c>
      <c r="CH15" s="71" t="s">
        <v>1175</v>
      </c>
      <c r="CI15" s="52" t="s">
        <v>146</v>
      </c>
      <c r="CJ15" s="52" t="s">
        <v>142</v>
      </c>
      <c r="CK15" s="52" t="s">
        <v>142</v>
      </c>
      <c r="CL15" s="52" t="s">
        <v>146</v>
      </c>
      <c r="CM15" s="52" t="s">
        <v>142</v>
      </c>
      <c r="CN15" s="52" t="s">
        <v>142</v>
      </c>
      <c r="CO15" s="52" t="s">
        <v>142</v>
      </c>
      <c r="CP15" s="52" t="s">
        <v>142</v>
      </c>
      <c r="CQ15" s="52" t="s">
        <v>142</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N15" s="790"/>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65">
      <c r="A16" s="48">
        <v>14</v>
      </c>
      <c r="B16" s="49">
        <v>202609</v>
      </c>
      <c r="C16" s="50" t="s">
        <v>1286</v>
      </c>
      <c r="D16" s="50" t="s">
        <v>174</v>
      </c>
      <c r="E16" s="51">
        <v>5846</v>
      </c>
      <c r="F16" s="52" t="s">
        <v>134</v>
      </c>
      <c r="G16" s="53" t="s">
        <v>712</v>
      </c>
      <c r="H16" s="675" t="s">
        <v>1287</v>
      </c>
      <c r="I16" s="676" t="s">
        <v>1164</v>
      </c>
      <c r="J16" s="141" t="s">
        <v>1288</v>
      </c>
      <c r="K16" s="69" t="s">
        <v>1289</v>
      </c>
      <c r="L16" s="55"/>
      <c r="M16" s="424" t="s">
        <v>1290</v>
      </c>
      <c r="N16" s="57" t="s">
        <v>1291</v>
      </c>
      <c r="O16" s="58" t="s">
        <v>146</v>
      </c>
      <c r="P16" s="59" t="s">
        <v>146</v>
      </c>
      <c r="Q16" s="60" t="s">
        <v>1169</v>
      </c>
      <c r="R16" s="61" t="s">
        <v>1292</v>
      </c>
      <c r="S16" s="55">
        <v>0</v>
      </c>
      <c r="T16" s="55">
        <v>0</v>
      </c>
      <c r="U16" s="55">
        <v>0</v>
      </c>
      <c r="V16" s="55">
        <v>100</v>
      </c>
      <c r="W16" s="55">
        <v>0</v>
      </c>
      <c r="X16" s="55">
        <v>0</v>
      </c>
      <c r="Y16" s="55">
        <v>0</v>
      </c>
      <c r="Z16" s="55">
        <v>0</v>
      </c>
      <c r="AA16" s="55">
        <v>0</v>
      </c>
      <c r="AB16" s="53">
        <v>100</v>
      </c>
      <c r="AC16" s="97" t="s">
        <v>144</v>
      </c>
      <c r="AD16" s="55" t="s">
        <v>386</v>
      </c>
      <c r="AE16" s="55" t="s">
        <v>142</v>
      </c>
      <c r="AF16" s="55" t="s">
        <v>146</v>
      </c>
      <c r="AG16" s="55" t="s">
        <v>142</v>
      </c>
      <c r="AH16" s="55">
        <v>1</v>
      </c>
      <c r="AI16" s="55">
        <v>200</v>
      </c>
      <c r="AJ16" s="202">
        <f>Sheet_1_Table_1_138[[#This Row],[ILP Units Per Session]]*Sheet_1_Table_1_138[[#This Row],[Quota]]</f>
        <v>200</v>
      </c>
      <c r="AK16" s="63">
        <v>46308</v>
      </c>
      <c r="AL16" s="64">
        <f>WEEKDAY(Sheet_1_Table_1_138[[#This Row],[Lesson 1 
Date 
(DD-MMM-YYYY)]])</f>
        <v>3</v>
      </c>
      <c r="AM16" s="65">
        <v>0.60416666666666663</v>
      </c>
      <c r="AN16" s="66">
        <v>0.64583333333333337</v>
      </c>
      <c r="AO16" s="67" t="s">
        <v>182</v>
      </c>
      <c r="AP16" s="677"/>
      <c r="AQ16" s="64" t="e">
        <f>WEEKDAY([12]!Sheet_1_Table_1_13[[#This Row],[Lesson 2
Date 
(DD-MMM-YYYY)]])</f>
        <v>#REF!</v>
      </c>
      <c r="AR16" s="65"/>
      <c r="AS16" s="66"/>
      <c r="AT16" s="126"/>
      <c r="AU16" s="63"/>
      <c r="AV16" s="64" t="e">
        <f>WEEKDAY([12]!Sheet_1_Table_1_13[[#This Row],[Lesson 3
Date 
(DD-MMM-YYYY)]])</f>
        <v>#REF!</v>
      </c>
      <c r="AW16" s="65"/>
      <c r="AX16" s="66"/>
      <c r="AY16" s="126"/>
      <c r="AZ16" s="98"/>
      <c r="BA16" s="64" t="e">
        <f>WEEKDAY([12]!Sheet_1_Table_1_13[[#This Row],[Lesson 4
Date 
(DD-MMM-YYYY)]])</f>
        <v>#REF!</v>
      </c>
      <c r="BB16" s="65"/>
      <c r="BC16" s="66"/>
      <c r="BD16" s="126"/>
      <c r="BE16" s="63"/>
      <c r="BF16" s="64" t="e">
        <f>WEEKDAY([12]!Sheet_1_Table_1_13[[#This Row],[Lesson 5
Date 
(DD-MMM-YYYY)]])</f>
        <v>#REF!</v>
      </c>
      <c r="BG16" s="65"/>
      <c r="BH16" s="66"/>
      <c r="BI16" s="126"/>
      <c r="BJ16" s="98"/>
      <c r="BK16" s="64" t="e">
        <f>WEEKDAY([12]!Sheet_1_Table_1_13[[#This Row],[Lesson 6
Date 
(DD-MMM-YYYY)]])</f>
        <v>#REF!</v>
      </c>
      <c r="BL16" s="65"/>
      <c r="BM16" s="66"/>
      <c r="BN16" s="99"/>
      <c r="BO16" s="185" t="s">
        <v>1293</v>
      </c>
      <c r="BP16" s="174" t="s">
        <v>1294</v>
      </c>
      <c r="BQ16" s="174" t="s">
        <v>601</v>
      </c>
      <c r="BR16" s="57" t="s">
        <v>1295</v>
      </c>
      <c r="BS16" s="52"/>
      <c r="BT16" s="56"/>
      <c r="BU16" s="56"/>
      <c r="BV16" s="70"/>
      <c r="BW16" s="60"/>
      <c r="BX16" s="71"/>
      <c r="BY16" s="56"/>
      <c r="BZ16" s="56"/>
      <c r="CA16" s="56"/>
      <c r="CB16" s="72"/>
      <c r="CC16" s="72"/>
      <c r="CD16" s="71"/>
      <c r="CE16" s="60" t="s">
        <v>1284</v>
      </c>
      <c r="CF16" s="164" t="s">
        <v>1285</v>
      </c>
      <c r="CG16" s="60" t="s">
        <v>1174</v>
      </c>
      <c r="CH16" s="71" t="s">
        <v>1175</v>
      </c>
      <c r="CI16" s="52" t="s">
        <v>146</v>
      </c>
      <c r="CJ16" s="52" t="s">
        <v>142</v>
      </c>
      <c r="CK16" s="52" t="s">
        <v>142</v>
      </c>
      <c r="CL16" s="52" t="s">
        <v>146</v>
      </c>
      <c r="CM16" s="52" t="s">
        <v>142</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2" t="s">
        <v>142</v>
      </c>
      <c r="DA16" s="54"/>
      <c r="DB16" s="50"/>
      <c r="DC16" s="50"/>
      <c r="DD16" s="50"/>
      <c r="DE16" s="50"/>
      <c r="DF16" s="50"/>
      <c r="DG16" s="73"/>
      <c r="DH16" s="73"/>
      <c r="DI16" s="74"/>
      <c r="DJ16" s="75"/>
      <c r="DK16" s="76" t="s">
        <v>146</v>
      </c>
      <c r="DL16" s="76" t="s">
        <v>146</v>
      </c>
      <c r="DM16" s="76" t="s">
        <v>146</v>
      </c>
      <c r="DN16" s="790"/>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165">
      <c r="A17" s="48">
        <v>15</v>
      </c>
      <c r="B17" s="49">
        <v>202609</v>
      </c>
      <c r="C17" s="50" t="s">
        <v>1296</v>
      </c>
      <c r="D17" s="50" t="s">
        <v>205</v>
      </c>
      <c r="E17" s="51">
        <v>5847</v>
      </c>
      <c r="F17" s="52" t="s">
        <v>134</v>
      </c>
      <c r="G17" s="53" t="s">
        <v>712</v>
      </c>
      <c r="H17" s="675" t="s">
        <v>1186</v>
      </c>
      <c r="I17" s="676" t="s">
        <v>1187</v>
      </c>
      <c r="J17" s="141" t="s">
        <v>1297</v>
      </c>
      <c r="K17" s="69" t="s">
        <v>1298</v>
      </c>
      <c r="L17" s="55"/>
      <c r="M17" s="424" t="s">
        <v>1299</v>
      </c>
      <c r="N17" s="57" t="s">
        <v>1300</v>
      </c>
      <c r="O17" s="58" t="s">
        <v>146</v>
      </c>
      <c r="P17" s="59" t="s">
        <v>146</v>
      </c>
      <c r="Q17" s="60" t="s">
        <v>1169</v>
      </c>
      <c r="R17" s="61" t="s">
        <v>1292</v>
      </c>
      <c r="S17" s="55">
        <v>0</v>
      </c>
      <c r="T17" s="55">
        <v>0</v>
      </c>
      <c r="U17" s="55">
        <v>0</v>
      </c>
      <c r="V17" s="55">
        <v>100</v>
      </c>
      <c r="W17" s="55">
        <v>0</v>
      </c>
      <c r="X17" s="55">
        <v>0</v>
      </c>
      <c r="Y17" s="55">
        <v>0</v>
      </c>
      <c r="Z17" s="55">
        <v>0</v>
      </c>
      <c r="AA17" s="55">
        <v>0</v>
      </c>
      <c r="AB17" s="53">
        <v>100</v>
      </c>
      <c r="AC17" s="52" t="s">
        <v>199</v>
      </c>
      <c r="AD17" s="55" t="s">
        <v>190</v>
      </c>
      <c r="AE17" s="55" t="s">
        <v>142</v>
      </c>
      <c r="AF17" s="55" t="s">
        <v>146</v>
      </c>
      <c r="AG17" s="55" t="s">
        <v>142</v>
      </c>
      <c r="AH17" s="55">
        <v>1.5</v>
      </c>
      <c r="AI17" s="55">
        <v>40</v>
      </c>
      <c r="AJ17" s="202">
        <f>Sheet_1_Table_1_138[[#This Row],[ILP Units Per Session]]*Sheet_1_Table_1_138[[#This Row],[Quota]]</f>
        <v>60</v>
      </c>
      <c r="AK17" s="63">
        <v>46336</v>
      </c>
      <c r="AL17" s="64">
        <f>WEEKDAY(Sheet_1_Table_1_138[[#This Row],[Lesson 1 
Date 
(DD-MMM-YYYY)]])</f>
        <v>3</v>
      </c>
      <c r="AM17" s="65">
        <v>0.60416666666666663</v>
      </c>
      <c r="AN17" s="66">
        <v>0.66666666666666663</v>
      </c>
      <c r="AO17" s="679" t="s">
        <v>1301</v>
      </c>
      <c r="AP17" s="680"/>
      <c r="AQ17" s="64">
        <f>WEEKDAY(Sheet_1_Table_1_138[[#This Row],[Lesson 2
Date 
(DD-MMM-YYYY)]])</f>
        <v>7</v>
      </c>
      <c r="AR17" s="65"/>
      <c r="AS17" s="66"/>
      <c r="AT17" s="66"/>
      <c r="AU17" s="63"/>
      <c r="AV17" s="64" t="e">
        <f>WEEKDAY([12]!Sheet_1_Table_1_13[[#This Row],[Lesson 3
Date 
(DD-MMM-YYYY)]])</f>
        <v>#REF!</v>
      </c>
      <c r="AW17" s="65"/>
      <c r="AX17" s="66"/>
      <c r="AY17" s="67"/>
      <c r="AZ17" s="68"/>
      <c r="BA17" s="64" t="e">
        <f>WEEKDAY([12]!Sheet_1_Table_1_13[[#This Row],[Lesson 4
Date 
(DD-MMM-YYYY)]])</f>
        <v>#REF!</v>
      </c>
      <c r="BB17" s="65"/>
      <c r="BC17" s="66"/>
      <c r="BD17" s="66"/>
      <c r="BE17" s="63"/>
      <c r="BF17" s="64" t="e">
        <f>WEEKDAY([12]!Sheet_1_Table_1_13[[#This Row],[Lesson 5
Date 
(DD-MMM-YYYY)]])</f>
        <v>#REF!</v>
      </c>
      <c r="BG17" s="65"/>
      <c r="BH17" s="66"/>
      <c r="BI17" s="67"/>
      <c r="BJ17" s="68"/>
      <c r="BK17" s="64" t="e">
        <f>WEEKDAY([12]!Sheet_1_Table_1_13[[#This Row],[Lesson 6
Date 
(DD-MMM-YYYY)]])</f>
        <v>#REF!</v>
      </c>
      <c r="BL17" s="65"/>
      <c r="BM17" s="66"/>
      <c r="BN17" s="66"/>
      <c r="BO17" s="54" t="s">
        <v>163</v>
      </c>
      <c r="BP17" s="83" t="s">
        <v>1302</v>
      </c>
      <c r="BQ17" s="55" t="s">
        <v>402</v>
      </c>
      <c r="BR17" s="57" t="s">
        <v>1303</v>
      </c>
      <c r="BS17" s="52" t="s">
        <v>293</v>
      </c>
      <c r="BT17" s="55" t="s">
        <v>1304</v>
      </c>
      <c r="BU17" s="55" t="s">
        <v>402</v>
      </c>
      <c r="BV17" s="57" t="s">
        <v>1303</v>
      </c>
      <c r="BW17" s="60"/>
      <c r="BX17" s="71"/>
      <c r="BY17" s="56"/>
      <c r="BZ17" s="56"/>
      <c r="CA17" s="56"/>
      <c r="CB17" s="72"/>
      <c r="CC17" s="72"/>
      <c r="CD17" s="71"/>
      <c r="CE17" s="60" t="s">
        <v>1284</v>
      </c>
      <c r="CF17" s="164" t="s">
        <v>1285</v>
      </c>
      <c r="CG17" s="60" t="s">
        <v>1174</v>
      </c>
      <c r="CH17" s="71" t="s">
        <v>1175</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N17" s="790"/>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195">
      <c r="A18" s="48">
        <v>16</v>
      </c>
      <c r="B18" s="49">
        <v>202609</v>
      </c>
      <c r="C18" s="50" t="s">
        <v>1305</v>
      </c>
      <c r="D18" s="50" t="s">
        <v>205</v>
      </c>
      <c r="E18" s="51">
        <v>5849</v>
      </c>
      <c r="F18" s="52" t="s">
        <v>134</v>
      </c>
      <c r="G18" s="53" t="s">
        <v>712</v>
      </c>
      <c r="H18" s="675" t="s">
        <v>1276</v>
      </c>
      <c r="I18" s="676" t="s">
        <v>1277</v>
      </c>
      <c r="J18" s="141" t="s">
        <v>1306</v>
      </c>
      <c r="K18" s="69" t="s">
        <v>1307</v>
      </c>
      <c r="L18" s="55"/>
      <c r="M18" s="56" t="s">
        <v>1308</v>
      </c>
      <c r="N18" s="57" t="s">
        <v>1309</v>
      </c>
      <c r="O18" s="58" t="s">
        <v>146</v>
      </c>
      <c r="P18" s="59" t="s">
        <v>146</v>
      </c>
      <c r="Q18" s="60" t="s">
        <v>1169</v>
      </c>
      <c r="R18" s="61" t="s">
        <v>1292</v>
      </c>
      <c r="S18" s="55">
        <v>0</v>
      </c>
      <c r="T18" s="55">
        <v>0</v>
      </c>
      <c r="U18" s="55">
        <v>0</v>
      </c>
      <c r="V18" s="55">
        <v>100</v>
      </c>
      <c r="W18" s="55">
        <v>0</v>
      </c>
      <c r="X18" s="55">
        <v>0</v>
      </c>
      <c r="Y18" s="55">
        <v>0</v>
      </c>
      <c r="Z18" s="55">
        <v>0</v>
      </c>
      <c r="AA18" s="55">
        <v>0</v>
      </c>
      <c r="AB18" s="53">
        <v>100</v>
      </c>
      <c r="AC18" s="52" t="s">
        <v>199</v>
      </c>
      <c r="AD18" s="55" t="s">
        <v>190</v>
      </c>
      <c r="AE18" s="55" t="s">
        <v>142</v>
      </c>
      <c r="AF18" s="55" t="s">
        <v>146</v>
      </c>
      <c r="AG18" s="55" t="s">
        <v>142</v>
      </c>
      <c r="AH18" s="55">
        <v>2</v>
      </c>
      <c r="AI18" s="55">
        <v>15</v>
      </c>
      <c r="AJ18" s="202">
        <f>Sheet_1_Table_1_138[[#This Row],[ILP Units Per Session]]*Sheet_1_Table_1_138[[#This Row],[Quota]]</f>
        <v>30</v>
      </c>
      <c r="AK18" s="63">
        <v>46342</v>
      </c>
      <c r="AL18" s="64">
        <f>WEEKDAY(Sheet_1_Table_1_138[[#This Row],[Lesson 1 
Date 
(DD-MMM-YYYY)]])</f>
        <v>2</v>
      </c>
      <c r="AM18" s="65">
        <v>0.58333333333333337</v>
      </c>
      <c r="AN18" s="66">
        <v>0.66666666666666663</v>
      </c>
      <c r="AO18" s="679" t="s">
        <v>460</v>
      </c>
      <c r="AP18" s="680"/>
      <c r="AQ18" s="64">
        <f>WEEKDAY(Sheet_1_Table_1_138[[#This Row],[Lesson 2
Date 
(DD-MMM-YYYY)]])</f>
        <v>7</v>
      </c>
      <c r="AR18" s="65"/>
      <c r="AS18" s="207"/>
      <c r="AT18" s="66"/>
      <c r="AU18" s="63"/>
      <c r="AV18" s="64" t="e">
        <f>WEEKDAY([12]!Sheet_1_Table_1_13[[#This Row],[Lesson 3
Date 
(DD-MMM-YYYY)]])</f>
        <v>#REF!</v>
      </c>
      <c r="AW18" s="65"/>
      <c r="AX18" s="66"/>
      <c r="AY18" s="67"/>
      <c r="AZ18" s="68"/>
      <c r="BA18" s="64" t="e">
        <f>WEEKDAY([12]!Sheet_1_Table_1_13[[#This Row],[Lesson 4
Date 
(DD-MMM-YYYY)]])</f>
        <v>#REF!</v>
      </c>
      <c r="BB18" s="65"/>
      <c r="BC18" s="66"/>
      <c r="BD18" s="66"/>
      <c r="BE18" s="63"/>
      <c r="BF18" s="64" t="e">
        <f>WEEKDAY([12]!Sheet_1_Table_1_13[[#This Row],[Lesson 5
Date 
(DD-MMM-YYYY)]])</f>
        <v>#REF!</v>
      </c>
      <c r="BG18" s="65"/>
      <c r="BH18" s="66"/>
      <c r="BI18" s="67"/>
      <c r="BJ18" s="68"/>
      <c r="BK18" s="64" t="e">
        <f>WEEKDAY([12]!Sheet_1_Table_1_13[[#This Row],[Lesson 6
Date 
(DD-MMM-YYYY)]])</f>
        <v>#REF!</v>
      </c>
      <c r="BL18" s="65"/>
      <c r="BM18" s="66"/>
      <c r="BN18" s="66"/>
      <c r="BO18" s="54" t="s">
        <v>163</v>
      </c>
      <c r="BP18" s="55" t="s">
        <v>1310</v>
      </c>
      <c r="BQ18" s="55" t="s">
        <v>1311</v>
      </c>
      <c r="BR18" s="57" t="s">
        <v>1312</v>
      </c>
      <c r="BS18" s="52" t="s">
        <v>289</v>
      </c>
      <c r="BT18" s="55" t="s">
        <v>1313</v>
      </c>
      <c r="BU18" s="55" t="s">
        <v>1314</v>
      </c>
      <c r="BV18" s="154" t="s">
        <v>1315</v>
      </c>
      <c r="BW18" s="60"/>
      <c r="BX18" s="71"/>
      <c r="BY18" s="56"/>
      <c r="BZ18" s="56"/>
      <c r="CA18" s="56"/>
      <c r="CB18" s="72"/>
      <c r="CC18" s="72"/>
      <c r="CD18" s="71"/>
      <c r="CE18" s="60" t="s">
        <v>1284</v>
      </c>
      <c r="CF18" s="164" t="s">
        <v>1285</v>
      </c>
      <c r="CG18" s="60" t="s">
        <v>1174</v>
      </c>
      <c r="CH18" s="71" t="s">
        <v>1175</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N18" s="790"/>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180">
      <c r="A19" s="48">
        <v>17</v>
      </c>
      <c r="B19" s="49">
        <v>202609</v>
      </c>
      <c r="C19" s="50" t="s">
        <v>1316</v>
      </c>
      <c r="D19" s="50" t="s">
        <v>205</v>
      </c>
      <c r="E19" s="51">
        <v>5850</v>
      </c>
      <c r="F19" s="52" t="s">
        <v>134</v>
      </c>
      <c r="G19" s="53" t="s">
        <v>712</v>
      </c>
      <c r="H19" s="675" t="s">
        <v>1186</v>
      </c>
      <c r="I19" s="676" t="s">
        <v>1187</v>
      </c>
      <c r="J19" s="685" t="s">
        <v>1317</v>
      </c>
      <c r="K19" s="686" t="s">
        <v>1318</v>
      </c>
      <c r="L19" s="55"/>
      <c r="M19" s="424" t="s">
        <v>1319</v>
      </c>
      <c r="N19" s="57" t="s">
        <v>1320</v>
      </c>
      <c r="O19" s="78" t="s">
        <v>146</v>
      </c>
      <c r="P19" s="59" t="s">
        <v>146</v>
      </c>
      <c r="Q19" s="214" t="s">
        <v>1169</v>
      </c>
      <c r="R19" s="61" t="s">
        <v>1292</v>
      </c>
      <c r="S19" s="55">
        <v>0</v>
      </c>
      <c r="T19" s="55">
        <v>0</v>
      </c>
      <c r="U19" s="55">
        <v>0</v>
      </c>
      <c r="V19" s="55">
        <v>100</v>
      </c>
      <c r="W19" s="55">
        <v>0</v>
      </c>
      <c r="X19" s="55">
        <v>0</v>
      </c>
      <c r="Y19" s="55">
        <v>0</v>
      </c>
      <c r="Z19" s="55">
        <v>0</v>
      </c>
      <c r="AA19" s="55">
        <v>0</v>
      </c>
      <c r="AB19" s="53">
        <v>100</v>
      </c>
      <c r="AC19" s="52" t="s">
        <v>144</v>
      </c>
      <c r="AD19" s="55" t="s">
        <v>190</v>
      </c>
      <c r="AE19" s="55" t="s">
        <v>142</v>
      </c>
      <c r="AF19" s="55" t="s">
        <v>146</v>
      </c>
      <c r="AG19" s="55" t="s">
        <v>142</v>
      </c>
      <c r="AH19" s="55">
        <v>1</v>
      </c>
      <c r="AI19" s="55">
        <v>50</v>
      </c>
      <c r="AJ19" s="202">
        <f>Sheet_1_Table_1_138[[#This Row],[ILP Units Per Session]]*Sheet_1_Table_1_138[[#This Row],[Quota]]</f>
        <v>50</v>
      </c>
      <c r="AK19" s="63">
        <v>46351</v>
      </c>
      <c r="AL19" s="64">
        <f>WEEKDAY(Sheet_1_Table_1_138[[#This Row],[Lesson 1 
Date 
(DD-MMM-YYYY)]])</f>
        <v>4</v>
      </c>
      <c r="AM19" s="65">
        <v>0.60416666666666663</v>
      </c>
      <c r="AN19" s="66">
        <v>0.64583333333333337</v>
      </c>
      <c r="AO19" s="679" t="s">
        <v>538</v>
      </c>
      <c r="AP19" s="680"/>
      <c r="AQ19" s="64">
        <f>WEEKDAY(Sheet_1_Table_1_138[[#This Row],[Lesson 2
Date 
(DD-MMM-YYYY)]])</f>
        <v>7</v>
      </c>
      <c r="AR19" s="65"/>
      <c r="AS19" s="66"/>
      <c r="AT19" s="66"/>
      <c r="AU19" s="63"/>
      <c r="AV19" s="64" t="e">
        <f>WEEKDAY([12]!Sheet_1_Table_1_13[[#This Row],[Lesson 3
Date 
(DD-MMM-YYYY)]])</f>
        <v>#REF!</v>
      </c>
      <c r="AW19" s="65"/>
      <c r="AX19" s="66"/>
      <c r="AY19" s="67"/>
      <c r="AZ19" s="68"/>
      <c r="BA19" s="64" t="e">
        <f>WEEKDAY([12]!Sheet_1_Table_1_13[[#This Row],[Lesson 4
Date 
(DD-MMM-YYYY)]])</f>
        <v>#REF!</v>
      </c>
      <c r="BB19" s="65"/>
      <c r="BC19" s="66"/>
      <c r="BD19" s="66"/>
      <c r="BE19" s="63"/>
      <c r="BF19" s="64" t="e">
        <f>WEEKDAY([12]!Sheet_1_Table_1_13[[#This Row],[Lesson 5
Date 
(DD-MMM-YYYY)]])</f>
        <v>#REF!</v>
      </c>
      <c r="BG19" s="65"/>
      <c r="BH19" s="66"/>
      <c r="BI19" s="67"/>
      <c r="BJ19" s="68"/>
      <c r="BK19" s="64" t="e">
        <f>WEEKDAY([12]!Sheet_1_Table_1_13[[#This Row],[Lesson 6
Date 
(DD-MMM-YYYY)]])</f>
        <v>#REF!</v>
      </c>
      <c r="BL19" s="65"/>
      <c r="BM19" s="66"/>
      <c r="BN19" s="66"/>
      <c r="BO19" s="54" t="s">
        <v>163</v>
      </c>
      <c r="BP19" s="83" t="s">
        <v>1302</v>
      </c>
      <c r="BQ19" s="55" t="s">
        <v>402</v>
      </c>
      <c r="BR19" s="57" t="s">
        <v>1303</v>
      </c>
      <c r="BS19" s="52"/>
      <c r="BT19" s="56"/>
      <c r="BU19" s="56"/>
      <c r="BV19" s="70"/>
      <c r="BW19" s="60"/>
      <c r="BX19" s="71"/>
      <c r="BY19" s="56"/>
      <c r="BZ19" s="56"/>
      <c r="CA19" s="56"/>
      <c r="CB19" s="72"/>
      <c r="CC19" s="72"/>
      <c r="CD19" s="71"/>
      <c r="CE19" s="60" t="s">
        <v>1284</v>
      </c>
      <c r="CF19" s="164" t="s">
        <v>1285</v>
      </c>
      <c r="CG19" s="60" t="s">
        <v>1174</v>
      </c>
      <c r="CH19" s="71" t="s">
        <v>1175</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N19" s="790"/>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255">
      <c r="A20" s="48">
        <v>18</v>
      </c>
      <c r="B20" s="49">
        <v>202609</v>
      </c>
      <c r="C20" s="50" t="s">
        <v>1321</v>
      </c>
      <c r="D20" s="50" t="s">
        <v>133</v>
      </c>
      <c r="E20" s="51">
        <v>5851</v>
      </c>
      <c r="F20" s="52" t="s">
        <v>134</v>
      </c>
      <c r="G20" s="53" t="s">
        <v>712</v>
      </c>
      <c r="H20" s="172" t="s">
        <v>1246</v>
      </c>
      <c r="I20" s="676" t="s">
        <v>1247</v>
      </c>
      <c r="J20" s="141"/>
      <c r="K20" s="69" t="s">
        <v>1322</v>
      </c>
      <c r="L20" s="55"/>
      <c r="M20" s="424" t="s">
        <v>1323</v>
      </c>
      <c r="N20" s="57" t="s">
        <v>1324</v>
      </c>
      <c r="O20" s="78" t="s">
        <v>142</v>
      </c>
      <c r="P20" s="59" t="s">
        <v>142</v>
      </c>
      <c r="Q20" s="214" t="s">
        <v>1169</v>
      </c>
      <c r="R20" s="77" t="s">
        <v>1292</v>
      </c>
      <c r="S20" s="55">
        <v>0</v>
      </c>
      <c r="T20" s="55">
        <v>0</v>
      </c>
      <c r="U20" s="55">
        <v>0</v>
      </c>
      <c r="V20" s="55">
        <v>100</v>
      </c>
      <c r="W20" s="55">
        <v>0</v>
      </c>
      <c r="X20" s="55">
        <v>0</v>
      </c>
      <c r="Y20" s="55">
        <v>0</v>
      </c>
      <c r="Z20" s="55">
        <v>0</v>
      </c>
      <c r="AA20" s="55">
        <v>0</v>
      </c>
      <c r="AB20" s="53">
        <v>100</v>
      </c>
      <c r="AC20" s="172" t="s">
        <v>1325</v>
      </c>
      <c r="AD20" s="55" t="s">
        <v>190</v>
      </c>
      <c r="AE20" s="55" t="s">
        <v>146</v>
      </c>
      <c r="AF20" s="55" t="s">
        <v>142</v>
      </c>
      <c r="AG20" s="55" t="s">
        <v>142</v>
      </c>
      <c r="AH20" s="55">
        <v>4</v>
      </c>
      <c r="AI20" s="55">
        <v>30</v>
      </c>
      <c r="AJ20" s="202">
        <f>Sheet_1_Table_1_138[[#This Row],[ILP Units Per Session]]*Sheet_1_Table_1_138[[#This Row],[Quota]]</f>
        <v>120</v>
      </c>
      <c r="AK20" s="63">
        <v>46324</v>
      </c>
      <c r="AL20" s="64">
        <f>WEEKDAY(Sheet_1_Table_1_138[[#This Row],[Lesson 1 
Date 
(DD-MMM-YYYY)]])</f>
        <v>5</v>
      </c>
      <c r="AM20" s="65">
        <v>0.77083333333333337</v>
      </c>
      <c r="AN20" s="65">
        <v>0.85416666666666663</v>
      </c>
      <c r="AO20" s="679" t="s">
        <v>460</v>
      </c>
      <c r="AP20" s="680">
        <v>46331</v>
      </c>
      <c r="AQ20" s="64">
        <f>WEEKDAY(Sheet_1_Table_1_138[[#This Row],[Lesson 2
Date 
(DD-MMM-YYYY)]])</f>
        <v>5</v>
      </c>
      <c r="AR20" s="65">
        <v>0.77083333333333337</v>
      </c>
      <c r="AS20" s="65">
        <v>0.85416666666666663</v>
      </c>
      <c r="AT20" s="687" t="s">
        <v>460</v>
      </c>
      <c r="AU20" s="63"/>
      <c r="AV20" s="64" t="e">
        <f>WEEKDAY([12]!Sheet_1_Table_1_13[[#This Row],[Lesson 3
Date 
(DD-MMM-YYYY)]])</f>
        <v>#REF!</v>
      </c>
      <c r="AW20" s="65"/>
      <c r="AX20" s="66"/>
      <c r="AY20" s="67"/>
      <c r="AZ20" s="68"/>
      <c r="BA20" s="64" t="e">
        <f>WEEKDAY([12]!Sheet_1_Table_1_13[[#This Row],[Lesson 4
Date 
(DD-MMM-YYYY)]])</f>
        <v>#REF!</v>
      </c>
      <c r="BB20" s="65"/>
      <c r="BC20" s="66"/>
      <c r="BD20" s="66"/>
      <c r="BE20" s="63"/>
      <c r="BF20" s="64" t="e">
        <f>WEEKDAY([12]!Sheet_1_Table_1_13[[#This Row],[Lesson 5
Date 
(DD-MMM-YYYY)]])</f>
        <v>#REF!</v>
      </c>
      <c r="BG20" s="65"/>
      <c r="BH20" s="66"/>
      <c r="BI20" s="67"/>
      <c r="BJ20" s="68"/>
      <c r="BK20" s="64" t="e">
        <f>WEEKDAY([12]!Sheet_1_Table_1_13[[#This Row],[Lesson 6
Date 
(DD-MMM-YYYY)]])</f>
        <v>#REF!</v>
      </c>
      <c r="BL20" s="65"/>
      <c r="BM20" s="66"/>
      <c r="BN20" s="66"/>
      <c r="BO20" s="54" t="s">
        <v>163</v>
      </c>
      <c r="BP20" s="55" t="s">
        <v>1326</v>
      </c>
      <c r="BQ20" s="55" t="s">
        <v>422</v>
      </c>
      <c r="BR20" s="57" t="s">
        <v>1327</v>
      </c>
      <c r="BS20" s="52"/>
      <c r="BT20" s="56"/>
      <c r="BU20" s="56"/>
      <c r="BV20" s="70"/>
      <c r="BW20" s="60"/>
      <c r="BX20" s="71"/>
      <c r="BY20" s="56"/>
      <c r="BZ20" s="56"/>
      <c r="CA20" s="56"/>
      <c r="CB20" s="72"/>
      <c r="CC20" s="72"/>
      <c r="CD20" s="71"/>
      <c r="CE20" s="60" t="s">
        <v>1284</v>
      </c>
      <c r="CF20" s="164" t="s">
        <v>1285</v>
      </c>
      <c r="CG20" s="60" t="s">
        <v>1174</v>
      </c>
      <c r="CH20" s="71" t="s">
        <v>1175</v>
      </c>
      <c r="CI20" s="52" t="s">
        <v>146</v>
      </c>
      <c r="CJ20" s="52" t="s">
        <v>142</v>
      </c>
      <c r="CK20" s="52" t="s">
        <v>142</v>
      </c>
      <c r="CL20" s="52" t="s">
        <v>146</v>
      </c>
      <c r="CM20" s="52" t="s">
        <v>142</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N20" s="790"/>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270">
      <c r="A21" s="48">
        <v>19</v>
      </c>
      <c r="B21" s="49">
        <v>202609</v>
      </c>
      <c r="C21" s="50" t="s">
        <v>1328</v>
      </c>
      <c r="D21" s="50" t="s">
        <v>133</v>
      </c>
      <c r="E21" s="51">
        <v>5852</v>
      </c>
      <c r="F21" s="52" t="s">
        <v>134</v>
      </c>
      <c r="G21" s="53" t="s">
        <v>712</v>
      </c>
      <c r="H21" s="172" t="s">
        <v>1246</v>
      </c>
      <c r="I21" s="676" t="s">
        <v>1247</v>
      </c>
      <c r="J21" s="141"/>
      <c r="K21" s="69" t="s">
        <v>1329</v>
      </c>
      <c r="L21" s="55"/>
      <c r="M21" s="424" t="s">
        <v>1330</v>
      </c>
      <c r="N21" s="57" t="s">
        <v>1331</v>
      </c>
      <c r="O21" s="78" t="s">
        <v>142</v>
      </c>
      <c r="P21" s="59" t="s">
        <v>142</v>
      </c>
      <c r="Q21" s="214" t="s">
        <v>1169</v>
      </c>
      <c r="R21" s="77" t="s">
        <v>1292</v>
      </c>
      <c r="S21" s="55">
        <v>0</v>
      </c>
      <c r="T21" s="55">
        <v>0</v>
      </c>
      <c r="U21" s="55">
        <v>0</v>
      </c>
      <c r="V21" s="55">
        <v>100</v>
      </c>
      <c r="W21" s="55">
        <v>0</v>
      </c>
      <c r="X21" s="55">
        <v>0</v>
      </c>
      <c r="Y21" s="55">
        <v>0</v>
      </c>
      <c r="Z21" s="55">
        <v>0</v>
      </c>
      <c r="AA21" s="55">
        <v>0</v>
      </c>
      <c r="AB21" s="53">
        <v>100</v>
      </c>
      <c r="AC21" s="52" t="s">
        <v>199</v>
      </c>
      <c r="AD21" s="55" t="s">
        <v>190</v>
      </c>
      <c r="AE21" s="55" t="s">
        <v>146</v>
      </c>
      <c r="AF21" s="55" t="s">
        <v>142</v>
      </c>
      <c r="AG21" s="55" t="s">
        <v>142</v>
      </c>
      <c r="AH21" s="55">
        <v>2</v>
      </c>
      <c r="AI21" s="55">
        <v>30</v>
      </c>
      <c r="AJ21" s="202">
        <f>Sheet_1_Table_1_138[[#This Row],[ILP Units Per Session]]*Sheet_1_Table_1_138[[#This Row],[Quota]]</f>
        <v>60</v>
      </c>
      <c r="AK21" s="428">
        <v>46338</v>
      </c>
      <c r="AL21" s="332">
        <f>WEEKDAY(Sheet_1_Table_1_138[[#This Row],[Lesson 1 
Date 
(DD-MMM-YYYY)]])</f>
        <v>5</v>
      </c>
      <c r="AM21" s="429">
        <v>0.58333333333333337</v>
      </c>
      <c r="AN21" s="430">
        <v>0.66666666666666663</v>
      </c>
      <c r="AO21" s="679" t="s">
        <v>460</v>
      </c>
      <c r="AP21" s="680"/>
      <c r="AQ21" s="64">
        <f>WEEKDAY(Sheet_1_Table_1_138[[#This Row],[Lesson 2
Date 
(DD-MMM-YYYY)]])</f>
        <v>7</v>
      </c>
      <c r="AR21" s="65"/>
      <c r="AS21" s="66"/>
      <c r="AT21" s="66"/>
      <c r="AU21" s="63"/>
      <c r="AV21" s="165" t="e">
        <f>WEEKDAY([12]!Sheet_1_Table_1_13[[#This Row],[Lesson 3
Date 
(DD-MMM-YYYY)]])</f>
        <v>#REF!</v>
      </c>
      <c r="AW21" s="65"/>
      <c r="AX21" s="66"/>
      <c r="AY21" s="67"/>
      <c r="AZ21" s="68"/>
      <c r="BA21" s="64" t="e">
        <f>WEEKDAY([12]!Sheet_1_Table_1_13[[#This Row],[Lesson 4
Date 
(DD-MMM-YYYY)]])</f>
        <v>#REF!</v>
      </c>
      <c r="BB21" s="65"/>
      <c r="BC21" s="66"/>
      <c r="BD21" s="66"/>
      <c r="BE21" s="63"/>
      <c r="BF21" s="165" t="e">
        <f>WEEKDAY([12]!Sheet_1_Table_1_13[[#This Row],[Lesson 5
Date 
(DD-MMM-YYYY)]])</f>
        <v>#REF!</v>
      </c>
      <c r="BG21" s="65"/>
      <c r="BH21" s="66"/>
      <c r="BI21" s="67"/>
      <c r="BJ21" s="68"/>
      <c r="BK21" s="165" t="e">
        <f>WEEKDAY([12]!Sheet_1_Table_1_13[[#This Row],[Lesson 6
Date 
(DD-MMM-YYYY)]])</f>
        <v>#REF!</v>
      </c>
      <c r="BL21" s="65"/>
      <c r="BM21" s="66"/>
      <c r="BN21" s="66"/>
      <c r="BO21" s="185" t="s">
        <v>1332</v>
      </c>
      <c r="BP21" s="174" t="s">
        <v>1333</v>
      </c>
      <c r="BQ21" s="174" t="s">
        <v>1334</v>
      </c>
      <c r="BR21" s="176" t="s">
        <v>1335</v>
      </c>
      <c r="BS21" s="52"/>
      <c r="BT21" s="56"/>
      <c r="BU21" s="56"/>
      <c r="BV21" s="70"/>
      <c r="BW21" s="60"/>
      <c r="BX21" s="71"/>
      <c r="BY21" s="56"/>
      <c r="BZ21" s="56"/>
      <c r="CA21" s="56"/>
      <c r="CB21" s="72"/>
      <c r="CC21" s="72"/>
      <c r="CD21" s="71"/>
      <c r="CE21" s="60" t="s">
        <v>1284</v>
      </c>
      <c r="CF21" s="164" t="s">
        <v>1285</v>
      </c>
      <c r="CG21" s="60" t="s">
        <v>1174</v>
      </c>
      <c r="CH21" s="71" t="s">
        <v>1175</v>
      </c>
      <c r="CI21" s="52" t="s">
        <v>146</v>
      </c>
      <c r="CJ21" s="52" t="s">
        <v>142</v>
      </c>
      <c r="CK21" s="52" t="s">
        <v>142</v>
      </c>
      <c r="CL21" s="52" t="s">
        <v>146</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N21" s="790"/>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135">
      <c r="A22" s="48">
        <v>20</v>
      </c>
      <c r="B22" s="49">
        <v>202609</v>
      </c>
      <c r="C22" s="50" t="s">
        <v>1336</v>
      </c>
      <c r="D22" s="50" t="s">
        <v>133</v>
      </c>
      <c r="E22" s="51">
        <v>5922</v>
      </c>
      <c r="F22" s="596" t="s">
        <v>134</v>
      </c>
      <c r="G22" s="539" t="s">
        <v>712</v>
      </c>
      <c r="H22" s="597" t="s">
        <v>728</v>
      </c>
      <c r="I22" s="597" t="s">
        <v>729</v>
      </c>
      <c r="J22" s="688" t="s">
        <v>1337</v>
      </c>
      <c r="K22" s="598" t="s">
        <v>1338</v>
      </c>
      <c r="L22" s="55"/>
      <c r="M22" s="56" t="s">
        <v>1339</v>
      </c>
      <c r="N22" s="57" t="s">
        <v>1340</v>
      </c>
      <c r="O22" s="58" t="s">
        <v>142</v>
      </c>
      <c r="P22" s="59" t="s">
        <v>142</v>
      </c>
      <c r="Q22" s="60" t="s">
        <v>1169</v>
      </c>
      <c r="R22" s="61" t="s">
        <v>1292</v>
      </c>
      <c r="S22" s="55">
        <v>0</v>
      </c>
      <c r="T22" s="55">
        <v>0</v>
      </c>
      <c r="U22" s="55">
        <v>0</v>
      </c>
      <c r="V22" s="55">
        <v>100</v>
      </c>
      <c r="W22" s="55">
        <v>0</v>
      </c>
      <c r="X22" s="55">
        <v>0</v>
      </c>
      <c r="Y22" s="55">
        <v>0</v>
      </c>
      <c r="Z22" s="55">
        <v>0</v>
      </c>
      <c r="AA22" s="55">
        <v>0</v>
      </c>
      <c r="AB22" s="53">
        <v>100</v>
      </c>
      <c r="AC22" s="52" t="s">
        <v>144</v>
      </c>
      <c r="AD22" s="55" t="s">
        <v>386</v>
      </c>
      <c r="AE22" s="55" t="s">
        <v>142</v>
      </c>
      <c r="AF22" s="55" t="s">
        <v>146</v>
      </c>
      <c r="AG22" s="55" t="s">
        <v>142</v>
      </c>
      <c r="AH22" s="55">
        <v>1</v>
      </c>
      <c r="AI22" s="55">
        <v>200</v>
      </c>
      <c r="AJ22" s="62">
        <v>200</v>
      </c>
      <c r="AK22" s="63">
        <v>46279</v>
      </c>
      <c r="AL22" s="332">
        <f>WEEKDAY(Sheet_1_Table_1_138[[#This Row],[Lesson 1 
Date 
(DD-MMM-YYYY)]])</f>
        <v>2</v>
      </c>
      <c r="AM22" s="65">
        <v>0.625</v>
      </c>
      <c r="AN22" s="66">
        <v>0.66666666666666663</v>
      </c>
      <c r="AO22" s="67" t="s">
        <v>719</v>
      </c>
      <c r="AP22" s="68"/>
      <c r="AQ22" s="64">
        <v>7</v>
      </c>
      <c r="AR22" s="65"/>
      <c r="AS22" s="66"/>
      <c r="AT22" s="66"/>
      <c r="AU22" s="63"/>
      <c r="AV22" s="64">
        <v>7</v>
      </c>
      <c r="AW22" s="65"/>
      <c r="AX22" s="66"/>
      <c r="AY22" s="67"/>
      <c r="AZ22" s="68"/>
      <c r="BA22" s="64">
        <v>7</v>
      </c>
      <c r="BB22" s="65"/>
      <c r="BC22" s="66"/>
      <c r="BD22" s="66"/>
      <c r="BE22" s="63"/>
      <c r="BF22" s="64">
        <v>7</v>
      </c>
      <c r="BG22" s="65"/>
      <c r="BH22" s="66"/>
      <c r="BI22" s="67"/>
      <c r="BJ22" s="68"/>
      <c r="BK22" s="64">
        <v>7</v>
      </c>
      <c r="BL22" s="65"/>
      <c r="BM22" s="66"/>
      <c r="BN22" s="66"/>
      <c r="BO22" s="54" t="s">
        <v>163</v>
      </c>
      <c r="BP22" s="69" t="s">
        <v>1341</v>
      </c>
      <c r="BQ22" s="55" t="s">
        <v>422</v>
      </c>
      <c r="BR22" s="57" t="s">
        <v>1342</v>
      </c>
      <c r="BS22" s="52" t="s">
        <v>163</v>
      </c>
      <c r="BT22" s="56" t="s">
        <v>1343</v>
      </c>
      <c r="BU22" s="56" t="s">
        <v>165</v>
      </c>
      <c r="BV22" s="70" t="s">
        <v>1344</v>
      </c>
      <c r="BW22" s="60"/>
      <c r="BX22" s="71"/>
      <c r="BY22" s="56" t="s">
        <v>149</v>
      </c>
      <c r="BZ22" s="56"/>
      <c r="CA22" s="56" t="s">
        <v>149</v>
      </c>
      <c r="CB22" s="507" t="s">
        <v>1345</v>
      </c>
      <c r="CC22" s="72" t="s">
        <v>1346</v>
      </c>
      <c r="CD22" s="71">
        <v>96784488</v>
      </c>
      <c r="CE22" s="214" t="s">
        <v>723</v>
      </c>
      <c r="CF22" s="464" t="s">
        <v>724</v>
      </c>
      <c r="CG22" s="56" t="s">
        <v>737</v>
      </c>
      <c r="CH22" s="291" t="s">
        <v>738</v>
      </c>
      <c r="CI22" s="52" t="s">
        <v>142</v>
      </c>
      <c r="CJ22" s="52" t="s">
        <v>142</v>
      </c>
      <c r="CK22" s="52" t="s">
        <v>142</v>
      </c>
      <c r="CL22" s="52" t="s">
        <v>146</v>
      </c>
      <c r="CM22" s="52" t="s">
        <v>146</v>
      </c>
      <c r="CN22" s="52" t="s">
        <v>142</v>
      </c>
      <c r="CO22" s="52" t="s">
        <v>142</v>
      </c>
      <c r="CP22" s="52" t="s">
        <v>142</v>
      </c>
      <c r="CQ22" s="52" t="s">
        <v>142</v>
      </c>
      <c r="CR22" s="52" t="s">
        <v>142</v>
      </c>
      <c r="CS22" s="52" t="s">
        <v>146</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t="s">
        <v>142</v>
      </c>
      <c r="DH22" s="73" t="s">
        <v>142</v>
      </c>
      <c r="DI22" s="599" t="s">
        <v>142</v>
      </c>
      <c r="DJ22" s="600" t="s">
        <v>142</v>
      </c>
      <c r="DK22" s="76" t="s">
        <v>146</v>
      </c>
      <c r="DL22" s="76" t="s">
        <v>146</v>
      </c>
      <c r="DM22" s="76" t="s">
        <v>146</v>
      </c>
      <c r="DN22" s="790"/>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120">
      <c r="A23" s="48">
        <v>21</v>
      </c>
      <c r="B23" s="49">
        <v>202609</v>
      </c>
      <c r="C23" s="50" t="s">
        <v>1347</v>
      </c>
      <c r="D23" s="50" t="s">
        <v>133</v>
      </c>
      <c r="E23" s="51">
        <v>5928</v>
      </c>
      <c r="F23" s="596" t="s">
        <v>134</v>
      </c>
      <c r="G23" s="539" t="s">
        <v>712</v>
      </c>
      <c r="H23" s="597" t="s">
        <v>713</v>
      </c>
      <c r="I23" s="597" t="s">
        <v>714</v>
      </c>
      <c r="J23" s="688" t="s">
        <v>1348</v>
      </c>
      <c r="K23" s="598" t="s">
        <v>1349</v>
      </c>
      <c r="L23" s="55"/>
      <c r="M23" s="56" t="s">
        <v>1350</v>
      </c>
      <c r="N23" s="57" t="s">
        <v>1351</v>
      </c>
      <c r="O23" s="58" t="s">
        <v>142</v>
      </c>
      <c r="P23" s="59" t="s">
        <v>142</v>
      </c>
      <c r="Q23" s="60" t="s">
        <v>1169</v>
      </c>
      <c r="R23" s="61" t="s">
        <v>1292</v>
      </c>
      <c r="S23" s="55">
        <v>0</v>
      </c>
      <c r="T23" s="55">
        <v>0</v>
      </c>
      <c r="U23" s="55">
        <v>100</v>
      </c>
      <c r="V23" s="55">
        <v>0</v>
      </c>
      <c r="W23" s="55">
        <v>0</v>
      </c>
      <c r="X23" s="55">
        <v>0</v>
      </c>
      <c r="Y23" s="55">
        <v>0</v>
      </c>
      <c r="Z23" s="55">
        <v>0</v>
      </c>
      <c r="AA23" s="55">
        <v>0</v>
      </c>
      <c r="AB23" s="53">
        <v>100</v>
      </c>
      <c r="AC23" s="52" t="s">
        <v>199</v>
      </c>
      <c r="AD23" s="55" t="s">
        <v>190</v>
      </c>
      <c r="AE23" s="55" t="s">
        <v>142</v>
      </c>
      <c r="AF23" s="55" t="s">
        <v>146</v>
      </c>
      <c r="AG23" s="55" t="s">
        <v>142</v>
      </c>
      <c r="AH23" s="55">
        <v>1.5</v>
      </c>
      <c r="AI23" s="55">
        <v>15</v>
      </c>
      <c r="AJ23" s="62">
        <v>22.5</v>
      </c>
      <c r="AK23" s="63">
        <v>46301</v>
      </c>
      <c r="AL23" s="332">
        <f>WEEKDAY(Sheet_1_Table_1_138[[#This Row],[Lesson 1 
Date 
(DD-MMM-YYYY)]])</f>
        <v>3</v>
      </c>
      <c r="AM23" s="429">
        <v>0.60416666666666663</v>
      </c>
      <c r="AN23" s="430">
        <v>0.66666666666666663</v>
      </c>
      <c r="AO23" s="431" t="s">
        <v>460</v>
      </c>
      <c r="AP23" s="68"/>
      <c r="AQ23" s="64">
        <v>7</v>
      </c>
      <c r="AR23" s="65"/>
      <c r="AS23" s="66"/>
      <c r="AT23" s="66"/>
      <c r="AU23" s="63"/>
      <c r="AV23" s="64">
        <v>7</v>
      </c>
      <c r="AW23" s="65"/>
      <c r="AX23" s="66"/>
      <c r="AY23" s="67"/>
      <c r="AZ23" s="68"/>
      <c r="BA23" s="64">
        <v>7</v>
      </c>
      <c r="BB23" s="65"/>
      <c r="BC23" s="66"/>
      <c r="BD23" s="66"/>
      <c r="BE23" s="63"/>
      <c r="BF23" s="64">
        <v>7</v>
      </c>
      <c r="BG23" s="65"/>
      <c r="BH23" s="66"/>
      <c r="BI23" s="67"/>
      <c r="BJ23" s="68"/>
      <c r="BK23" s="64">
        <v>7</v>
      </c>
      <c r="BL23" s="65"/>
      <c r="BM23" s="66"/>
      <c r="BN23" s="66"/>
      <c r="BO23" s="54" t="s">
        <v>163</v>
      </c>
      <c r="BP23" s="69" t="s">
        <v>1352</v>
      </c>
      <c r="BQ23" s="55" t="s">
        <v>777</v>
      </c>
      <c r="BR23" s="57" t="s">
        <v>1353</v>
      </c>
      <c r="BS23" s="52"/>
      <c r="BT23" s="56"/>
      <c r="BU23" s="56"/>
      <c r="BV23" s="70"/>
      <c r="BW23" s="60"/>
      <c r="BX23" s="71"/>
      <c r="BY23" s="56" t="s">
        <v>184</v>
      </c>
      <c r="BZ23" s="56"/>
      <c r="CA23" s="56" t="s">
        <v>184</v>
      </c>
      <c r="CB23" s="72"/>
      <c r="CC23" s="72"/>
      <c r="CD23" s="71"/>
      <c r="CE23" s="60" t="s">
        <v>725</v>
      </c>
      <c r="CF23" s="164" t="s">
        <v>726</v>
      </c>
      <c r="CG23" s="56" t="s">
        <v>723</v>
      </c>
      <c r="CH23" s="291" t="s">
        <v>724</v>
      </c>
      <c r="CI23" s="52" t="s">
        <v>142</v>
      </c>
      <c r="CJ23" s="52" t="s">
        <v>142</v>
      </c>
      <c r="CK23" s="52" t="s">
        <v>142</v>
      </c>
      <c r="CL23" s="52" t="s">
        <v>146</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t="s">
        <v>142</v>
      </c>
      <c r="DH23" s="73" t="s">
        <v>142</v>
      </c>
      <c r="DI23" s="599" t="s">
        <v>142</v>
      </c>
      <c r="DJ23" s="600" t="s">
        <v>142</v>
      </c>
      <c r="DK23" s="76" t="s">
        <v>146</v>
      </c>
      <c r="DL23" s="76" t="s">
        <v>146</v>
      </c>
      <c r="DM23" s="76" t="s">
        <v>146</v>
      </c>
      <c r="DN23" s="790"/>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180">
      <c r="A24" s="48">
        <v>22</v>
      </c>
      <c r="B24" s="49">
        <v>202609</v>
      </c>
      <c r="C24" s="50" t="s">
        <v>1354</v>
      </c>
      <c r="D24" s="50" t="s">
        <v>133</v>
      </c>
      <c r="E24" s="51">
        <v>5929</v>
      </c>
      <c r="F24" s="596" t="s">
        <v>134</v>
      </c>
      <c r="G24" s="539" t="s">
        <v>712</v>
      </c>
      <c r="H24" s="597" t="s">
        <v>728</v>
      </c>
      <c r="I24" s="597" t="s">
        <v>729</v>
      </c>
      <c r="J24" s="688" t="s">
        <v>1355</v>
      </c>
      <c r="K24" s="598" t="s">
        <v>1356</v>
      </c>
      <c r="L24" s="55"/>
      <c r="M24" s="56" t="s">
        <v>1357</v>
      </c>
      <c r="N24" s="57" t="s">
        <v>1358</v>
      </c>
      <c r="O24" s="58" t="s">
        <v>142</v>
      </c>
      <c r="P24" s="59" t="s">
        <v>142</v>
      </c>
      <c r="Q24" s="60" t="s">
        <v>1169</v>
      </c>
      <c r="R24" s="77" t="s">
        <v>1292</v>
      </c>
      <c r="S24" s="55">
        <v>25</v>
      </c>
      <c r="T24" s="55">
        <v>0</v>
      </c>
      <c r="U24" s="55">
        <v>0</v>
      </c>
      <c r="V24" s="55">
        <v>50</v>
      </c>
      <c r="W24" s="55">
        <v>0</v>
      </c>
      <c r="X24" s="55">
        <v>0</v>
      </c>
      <c r="Y24" s="55">
        <v>0</v>
      </c>
      <c r="Z24" s="55">
        <v>0</v>
      </c>
      <c r="AA24" s="55">
        <v>25</v>
      </c>
      <c r="AB24" s="53">
        <v>100</v>
      </c>
      <c r="AC24" s="52" t="s">
        <v>734</v>
      </c>
      <c r="AD24" s="55" t="s">
        <v>190</v>
      </c>
      <c r="AE24" s="55" t="s">
        <v>146</v>
      </c>
      <c r="AF24" s="55" t="s">
        <v>142</v>
      </c>
      <c r="AG24" s="55" t="s">
        <v>142</v>
      </c>
      <c r="AH24" s="55">
        <v>12</v>
      </c>
      <c r="AI24" s="55">
        <v>30</v>
      </c>
      <c r="AJ24" s="62">
        <v>360</v>
      </c>
      <c r="AK24" s="63">
        <v>46305</v>
      </c>
      <c r="AL24" s="332">
        <f>WEEKDAY(Sheet_1_Table_1_138[[#This Row],[Lesson 1 
Date 
(DD-MMM-YYYY)]])</f>
        <v>7</v>
      </c>
      <c r="AM24" s="65">
        <v>0.41666666666666669</v>
      </c>
      <c r="AN24" s="66">
        <v>0.70833333333333337</v>
      </c>
      <c r="AO24" s="431" t="s">
        <v>1359</v>
      </c>
      <c r="AP24" s="68">
        <v>46312</v>
      </c>
      <c r="AQ24" s="332">
        <v>7</v>
      </c>
      <c r="AR24" s="65">
        <v>0.41666666666666669</v>
      </c>
      <c r="AS24" s="66">
        <v>0.70833333333333337</v>
      </c>
      <c r="AT24" s="431" t="s">
        <v>1359</v>
      </c>
      <c r="AU24" s="63"/>
      <c r="AV24" s="165">
        <v>7</v>
      </c>
      <c r="AW24" s="65"/>
      <c r="AX24" s="66"/>
      <c r="AY24" s="67"/>
      <c r="AZ24" s="68"/>
      <c r="BA24" s="64">
        <v>7</v>
      </c>
      <c r="BB24" s="65"/>
      <c r="BC24" s="66"/>
      <c r="BD24" s="66"/>
      <c r="BE24" s="63"/>
      <c r="BF24" s="165">
        <v>7</v>
      </c>
      <c r="BG24" s="65"/>
      <c r="BH24" s="66"/>
      <c r="BI24" s="67"/>
      <c r="BJ24" s="68"/>
      <c r="BK24" s="165">
        <v>7</v>
      </c>
      <c r="BL24" s="65"/>
      <c r="BM24" s="66"/>
      <c r="BN24" s="66"/>
      <c r="BO24" s="54" t="s">
        <v>163</v>
      </c>
      <c r="BP24" s="69" t="s">
        <v>1360</v>
      </c>
      <c r="BQ24" s="55" t="s">
        <v>436</v>
      </c>
      <c r="BR24" s="57"/>
      <c r="BS24" s="52"/>
      <c r="BT24" s="56"/>
      <c r="BU24" s="56"/>
      <c r="BV24" s="70"/>
      <c r="BW24" s="60"/>
      <c r="BX24" s="71"/>
      <c r="BY24" s="56" t="s">
        <v>184</v>
      </c>
      <c r="BZ24" s="56"/>
      <c r="CA24" s="56" t="s">
        <v>184</v>
      </c>
      <c r="CB24" s="72"/>
      <c r="CC24" s="72"/>
      <c r="CD24" s="71"/>
      <c r="CE24" s="60" t="s">
        <v>737</v>
      </c>
      <c r="CF24" s="164" t="s">
        <v>738</v>
      </c>
      <c r="CG24" s="56" t="s">
        <v>723</v>
      </c>
      <c r="CH24" s="291" t="s">
        <v>724</v>
      </c>
      <c r="CI24" s="52" t="s">
        <v>146</v>
      </c>
      <c r="CJ24" s="52" t="s">
        <v>142</v>
      </c>
      <c r="CK24" s="52" t="s">
        <v>142</v>
      </c>
      <c r="CL24" s="52" t="s">
        <v>142</v>
      </c>
      <c r="CM24" s="52" t="s">
        <v>146</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t="s">
        <v>142</v>
      </c>
      <c r="DH24" s="73" t="s">
        <v>146</v>
      </c>
      <c r="DI24" s="599" t="s">
        <v>142</v>
      </c>
      <c r="DJ24" s="600" t="s">
        <v>146</v>
      </c>
      <c r="DK24" s="76" t="s">
        <v>146</v>
      </c>
      <c r="DL24" s="76" t="s">
        <v>146</v>
      </c>
      <c r="DM24" s="76" t="s">
        <v>146</v>
      </c>
      <c r="DN24" s="790"/>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90">
      <c r="A25" s="48">
        <v>23</v>
      </c>
      <c r="B25" s="49">
        <v>202609</v>
      </c>
      <c r="C25" s="50" t="s">
        <v>1361</v>
      </c>
      <c r="D25" s="50" t="s">
        <v>133</v>
      </c>
      <c r="E25" s="127">
        <v>5934</v>
      </c>
      <c r="F25" s="689" t="s">
        <v>134</v>
      </c>
      <c r="G25" s="690" t="s">
        <v>712</v>
      </c>
      <c r="H25" s="598" t="s">
        <v>728</v>
      </c>
      <c r="I25" s="691" t="s">
        <v>729</v>
      </c>
      <c r="J25" s="688" t="s">
        <v>1362</v>
      </c>
      <c r="K25" s="598" t="s">
        <v>1363</v>
      </c>
      <c r="L25" s="55"/>
      <c r="M25" s="56" t="s">
        <v>1364</v>
      </c>
      <c r="N25" s="57" t="s">
        <v>1365</v>
      </c>
      <c r="O25" s="58" t="s">
        <v>142</v>
      </c>
      <c r="P25" s="59" t="s">
        <v>142</v>
      </c>
      <c r="Q25" s="60" t="s">
        <v>1169</v>
      </c>
      <c r="R25" s="61" t="s">
        <v>1292</v>
      </c>
      <c r="S25" s="55">
        <v>50</v>
      </c>
      <c r="T25" s="55">
        <v>0</v>
      </c>
      <c r="U25" s="55">
        <v>0</v>
      </c>
      <c r="V25" s="55">
        <v>50</v>
      </c>
      <c r="W25" s="55">
        <v>0</v>
      </c>
      <c r="X25" s="55">
        <v>0</v>
      </c>
      <c r="Y25" s="55">
        <v>0</v>
      </c>
      <c r="Z25" s="55">
        <v>0</v>
      </c>
      <c r="AA25" s="55">
        <v>0</v>
      </c>
      <c r="AB25" s="53">
        <v>100</v>
      </c>
      <c r="AC25" s="52" t="s">
        <v>199</v>
      </c>
      <c r="AD25" s="55" t="s">
        <v>190</v>
      </c>
      <c r="AE25" s="55" t="s">
        <v>142</v>
      </c>
      <c r="AF25" s="55" t="s">
        <v>146</v>
      </c>
      <c r="AG25" s="55" t="s">
        <v>146</v>
      </c>
      <c r="AH25" s="55">
        <v>2</v>
      </c>
      <c r="AI25" s="55">
        <v>6</v>
      </c>
      <c r="AJ25" s="62">
        <v>12</v>
      </c>
      <c r="AK25" s="63">
        <v>46328</v>
      </c>
      <c r="AL25" s="332">
        <f>WEEKDAY(Sheet_1_Table_1_138[[#This Row],[Lesson 1 
Date 
(DD-MMM-YYYY)]])</f>
        <v>2</v>
      </c>
      <c r="AM25" s="65">
        <v>0.625</v>
      </c>
      <c r="AN25" s="66">
        <v>0.70833333333333337</v>
      </c>
      <c r="AO25" s="431" t="s">
        <v>1366</v>
      </c>
      <c r="AP25" s="68"/>
      <c r="AQ25" s="64">
        <v>7</v>
      </c>
      <c r="AR25" s="65"/>
      <c r="AS25" s="66"/>
      <c r="AT25" s="126"/>
      <c r="AU25" s="63"/>
      <c r="AV25" s="64">
        <v>7</v>
      </c>
      <c r="AW25" s="65"/>
      <c r="AX25" s="66"/>
      <c r="AY25" s="126"/>
      <c r="AZ25" s="98"/>
      <c r="BA25" s="64">
        <v>7</v>
      </c>
      <c r="BB25" s="65"/>
      <c r="BC25" s="66"/>
      <c r="BD25" s="126"/>
      <c r="BE25" s="63"/>
      <c r="BF25" s="64">
        <v>7</v>
      </c>
      <c r="BG25" s="65"/>
      <c r="BH25" s="66"/>
      <c r="BI25" s="126"/>
      <c r="BJ25" s="98"/>
      <c r="BK25" s="64">
        <v>7</v>
      </c>
      <c r="BL25" s="65"/>
      <c r="BM25" s="66"/>
      <c r="BN25" s="99"/>
      <c r="BO25" s="54" t="s">
        <v>163</v>
      </c>
      <c r="BP25" s="69" t="s">
        <v>1367</v>
      </c>
      <c r="BQ25" s="55" t="s">
        <v>1368</v>
      </c>
      <c r="BR25" s="57" t="s">
        <v>1369</v>
      </c>
      <c r="BS25" s="54"/>
      <c r="BT25" s="56"/>
      <c r="BU25" s="56"/>
      <c r="BV25" s="57"/>
      <c r="BW25" s="60"/>
      <c r="BX25" s="187"/>
      <c r="BY25" s="56"/>
      <c r="BZ25" s="56"/>
      <c r="CA25" s="56"/>
      <c r="CB25" s="72"/>
      <c r="CC25" s="72"/>
      <c r="CD25" s="72"/>
      <c r="CE25" s="60" t="s">
        <v>737</v>
      </c>
      <c r="CF25" s="164" t="s">
        <v>738</v>
      </c>
      <c r="CG25" s="56" t="s">
        <v>723</v>
      </c>
      <c r="CH25" s="291" t="s">
        <v>724</v>
      </c>
      <c r="CI25" s="52" t="s">
        <v>142</v>
      </c>
      <c r="CJ25" s="52" t="s">
        <v>142</v>
      </c>
      <c r="CK25" s="52" t="s">
        <v>142</v>
      </c>
      <c r="CL25" s="52" t="s">
        <v>142</v>
      </c>
      <c r="CM25" s="52" t="s">
        <v>146</v>
      </c>
      <c r="CN25" s="52" t="s">
        <v>142</v>
      </c>
      <c r="CO25" s="52" t="s">
        <v>142</v>
      </c>
      <c r="CP25" s="52" t="s">
        <v>142</v>
      </c>
      <c r="CQ25" s="52" t="s">
        <v>142</v>
      </c>
      <c r="CR25" s="52" t="s">
        <v>142</v>
      </c>
      <c r="CS25" s="52" t="s">
        <v>146</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t="s">
        <v>142</v>
      </c>
      <c r="DH25" s="73" t="s">
        <v>142</v>
      </c>
      <c r="DI25" s="599" t="s">
        <v>142</v>
      </c>
      <c r="DJ25" s="600" t="s">
        <v>146</v>
      </c>
      <c r="DK25" s="76"/>
      <c r="DL25" s="76"/>
      <c r="DM25" s="76"/>
      <c r="DN25" s="790"/>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135">
      <c r="A26" s="48">
        <v>24</v>
      </c>
      <c r="B26" s="49">
        <v>202609</v>
      </c>
      <c r="C26" s="50" t="s">
        <v>1370</v>
      </c>
      <c r="D26" s="50" t="s">
        <v>133</v>
      </c>
      <c r="E26" s="51">
        <v>5936</v>
      </c>
      <c r="F26" s="596" t="s">
        <v>134</v>
      </c>
      <c r="G26" s="539" t="s">
        <v>712</v>
      </c>
      <c r="H26" s="597" t="s">
        <v>728</v>
      </c>
      <c r="I26" s="597" t="s">
        <v>729</v>
      </c>
      <c r="J26" s="688" t="s">
        <v>1371</v>
      </c>
      <c r="K26" s="598" t="s">
        <v>1372</v>
      </c>
      <c r="L26" s="55"/>
      <c r="M26" s="56" t="s">
        <v>1373</v>
      </c>
      <c r="N26" s="57" t="s">
        <v>1374</v>
      </c>
      <c r="O26" s="58" t="s">
        <v>142</v>
      </c>
      <c r="P26" s="59" t="s">
        <v>142</v>
      </c>
      <c r="Q26" s="60" t="s">
        <v>1169</v>
      </c>
      <c r="R26" s="77" t="s">
        <v>1292</v>
      </c>
      <c r="S26" s="55">
        <v>50</v>
      </c>
      <c r="T26" s="55">
        <v>0</v>
      </c>
      <c r="U26" s="55">
        <v>0</v>
      </c>
      <c r="V26" s="55">
        <v>50</v>
      </c>
      <c r="W26" s="55">
        <v>0</v>
      </c>
      <c r="X26" s="55">
        <v>0</v>
      </c>
      <c r="Y26" s="55">
        <v>0</v>
      </c>
      <c r="Z26" s="55">
        <v>0</v>
      </c>
      <c r="AA26" s="55">
        <v>0</v>
      </c>
      <c r="AB26" s="53">
        <v>100</v>
      </c>
      <c r="AC26" s="52" t="s">
        <v>245</v>
      </c>
      <c r="AD26" s="55" t="s">
        <v>190</v>
      </c>
      <c r="AE26" s="55" t="s">
        <v>142</v>
      </c>
      <c r="AF26" s="55" t="s">
        <v>146</v>
      </c>
      <c r="AG26" s="55" t="s">
        <v>142</v>
      </c>
      <c r="AH26" s="55">
        <v>2</v>
      </c>
      <c r="AI26" s="55">
        <v>15</v>
      </c>
      <c r="AJ26" s="62">
        <v>30</v>
      </c>
      <c r="AK26" s="63">
        <v>46332</v>
      </c>
      <c r="AL26" s="332">
        <f>WEEKDAY(Sheet_1_Table_1_138[[#This Row],[Lesson 1 
Date 
(DD-MMM-YYYY)]])</f>
        <v>6</v>
      </c>
      <c r="AM26" s="65">
        <v>0.64583333333333337</v>
      </c>
      <c r="AN26" s="66">
        <v>0.71875</v>
      </c>
      <c r="AO26" s="67" t="s">
        <v>1375</v>
      </c>
      <c r="AP26" s="68"/>
      <c r="AQ26" s="64">
        <v>7</v>
      </c>
      <c r="AR26" s="65"/>
      <c r="AS26" s="66"/>
      <c r="AT26" s="66"/>
      <c r="AU26" s="63"/>
      <c r="AV26" s="64">
        <v>7</v>
      </c>
      <c r="AW26" s="65"/>
      <c r="AX26" s="66"/>
      <c r="AY26" s="67"/>
      <c r="AZ26" s="68"/>
      <c r="BA26" s="64">
        <v>7</v>
      </c>
      <c r="BB26" s="65"/>
      <c r="BC26" s="66"/>
      <c r="BD26" s="66"/>
      <c r="BE26" s="63"/>
      <c r="BF26" s="64">
        <v>7</v>
      </c>
      <c r="BG26" s="65"/>
      <c r="BH26" s="66"/>
      <c r="BI26" s="67"/>
      <c r="BJ26" s="68"/>
      <c r="BK26" s="64">
        <v>7</v>
      </c>
      <c r="BL26" s="65"/>
      <c r="BM26" s="66"/>
      <c r="BN26" s="66"/>
      <c r="BO26" s="54"/>
      <c r="BP26" s="69"/>
      <c r="BQ26" s="55"/>
      <c r="BR26" s="57" t="s">
        <v>1376</v>
      </c>
      <c r="BS26" s="52"/>
      <c r="BT26" s="56"/>
      <c r="BU26" s="56"/>
      <c r="BV26" s="70"/>
      <c r="BW26" s="60"/>
      <c r="BX26" s="71"/>
      <c r="BY26" s="56"/>
      <c r="BZ26" s="56"/>
      <c r="CA26" s="56"/>
      <c r="CB26" s="72"/>
      <c r="CC26" s="72"/>
      <c r="CD26" s="71"/>
      <c r="CE26" s="60" t="s">
        <v>737</v>
      </c>
      <c r="CF26" s="164" t="s">
        <v>738</v>
      </c>
      <c r="CG26" s="56" t="s">
        <v>723</v>
      </c>
      <c r="CH26" s="291" t="s">
        <v>724</v>
      </c>
      <c r="CI26" s="52" t="s">
        <v>142</v>
      </c>
      <c r="CJ26" s="52" t="s">
        <v>142</v>
      </c>
      <c r="CK26" s="52" t="s">
        <v>142</v>
      </c>
      <c r="CL26" s="52" t="s">
        <v>142</v>
      </c>
      <c r="CM26" s="52" t="s">
        <v>146</v>
      </c>
      <c r="CN26" s="52" t="s">
        <v>142</v>
      </c>
      <c r="CO26" s="52" t="s">
        <v>142</v>
      </c>
      <c r="CP26" s="52" t="s">
        <v>142</v>
      </c>
      <c r="CQ26" s="52" t="s">
        <v>142</v>
      </c>
      <c r="CR26" s="52" t="s">
        <v>142</v>
      </c>
      <c r="CS26" s="52" t="s">
        <v>146</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t="s">
        <v>142</v>
      </c>
      <c r="DH26" s="73" t="s">
        <v>142</v>
      </c>
      <c r="DI26" s="599" t="s">
        <v>142</v>
      </c>
      <c r="DJ26" s="600" t="s">
        <v>142</v>
      </c>
      <c r="DK26" s="76" t="s">
        <v>146</v>
      </c>
      <c r="DL26" s="76" t="s">
        <v>146</v>
      </c>
      <c r="DM26" s="76" t="s">
        <v>146</v>
      </c>
      <c r="DN26" s="790"/>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150">
      <c r="A27" s="48">
        <v>25</v>
      </c>
      <c r="B27" s="49">
        <v>202609</v>
      </c>
      <c r="C27" s="50" t="s">
        <v>1377</v>
      </c>
      <c r="D27" s="50" t="s">
        <v>133</v>
      </c>
      <c r="E27" s="51">
        <v>5938</v>
      </c>
      <c r="F27" s="596" t="s">
        <v>134</v>
      </c>
      <c r="G27" s="539" t="s">
        <v>712</v>
      </c>
      <c r="H27" s="597" t="s">
        <v>713</v>
      </c>
      <c r="I27" s="597" t="s">
        <v>714</v>
      </c>
      <c r="J27" s="688" t="s">
        <v>1378</v>
      </c>
      <c r="K27" s="598" t="s">
        <v>1379</v>
      </c>
      <c r="L27" s="55"/>
      <c r="M27" s="56" t="s">
        <v>1380</v>
      </c>
      <c r="N27" s="57" t="s">
        <v>1381</v>
      </c>
      <c r="O27" s="58" t="s">
        <v>142</v>
      </c>
      <c r="P27" s="59" t="s">
        <v>142</v>
      </c>
      <c r="Q27" s="60" t="s">
        <v>1169</v>
      </c>
      <c r="R27" s="77" t="s">
        <v>1292</v>
      </c>
      <c r="S27" s="55">
        <v>0</v>
      </c>
      <c r="T27" s="55">
        <v>0</v>
      </c>
      <c r="U27" s="55">
        <v>0</v>
      </c>
      <c r="V27" s="55">
        <v>100</v>
      </c>
      <c r="W27" s="55">
        <v>0</v>
      </c>
      <c r="X27" s="55">
        <v>0</v>
      </c>
      <c r="Y27" s="55">
        <v>0</v>
      </c>
      <c r="Z27" s="55">
        <v>0</v>
      </c>
      <c r="AA27" s="55">
        <v>0</v>
      </c>
      <c r="AB27" s="53">
        <v>100</v>
      </c>
      <c r="AC27" s="52" t="s">
        <v>199</v>
      </c>
      <c r="AD27" s="55" t="s">
        <v>190</v>
      </c>
      <c r="AE27" s="55" t="s">
        <v>142</v>
      </c>
      <c r="AF27" s="55" t="s">
        <v>146</v>
      </c>
      <c r="AG27" s="55" t="s">
        <v>142</v>
      </c>
      <c r="AH27" s="55">
        <v>1.5</v>
      </c>
      <c r="AI27" s="55">
        <v>25</v>
      </c>
      <c r="AJ27" s="62">
        <v>37.5</v>
      </c>
      <c r="AK27" s="63">
        <v>46351</v>
      </c>
      <c r="AL27" s="332">
        <f>WEEKDAY(Sheet_1_Table_1_138[[#This Row],[Lesson 1 
Date 
(DD-MMM-YYYY)]])</f>
        <v>4</v>
      </c>
      <c r="AM27" s="65">
        <v>0.625</v>
      </c>
      <c r="AN27" s="66">
        <v>0.6875</v>
      </c>
      <c r="AO27" s="431" t="s">
        <v>1129</v>
      </c>
      <c r="AP27" s="68"/>
      <c r="AQ27" s="64">
        <v>7</v>
      </c>
      <c r="AR27" s="65"/>
      <c r="AS27" s="66"/>
      <c r="AT27" s="66"/>
      <c r="AU27" s="63"/>
      <c r="AV27" s="64">
        <v>7</v>
      </c>
      <c r="AW27" s="65"/>
      <c r="AX27" s="66"/>
      <c r="AY27" s="67"/>
      <c r="AZ27" s="68"/>
      <c r="BA27" s="64">
        <v>7</v>
      </c>
      <c r="BB27" s="65"/>
      <c r="BC27" s="66"/>
      <c r="BD27" s="66"/>
      <c r="BE27" s="63"/>
      <c r="BF27" s="64">
        <v>7</v>
      </c>
      <c r="BG27" s="65"/>
      <c r="BH27" s="66"/>
      <c r="BI27" s="67"/>
      <c r="BJ27" s="68"/>
      <c r="BK27" s="64">
        <v>7</v>
      </c>
      <c r="BL27" s="65"/>
      <c r="BM27" s="66"/>
      <c r="BN27" s="66"/>
      <c r="BO27" s="54"/>
      <c r="BP27" s="69"/>
      <c r="BQ27" s="55"/>
      <c r="BR27" s="57" t="s">
        <v>1382</v>
      </c>
      <c r="BS27" s="52"/>
      <c r="BT27" s="56"/>
      <c r="BU27" s="56"/>
      <c r="BV27" s="70"/>
      <c r="BW27" s="60"/>
      <c r="BX27" s="71"/>
      <c r="BY27" s="56"/>
      <c r="BZ27" s="56"/>
      <c r="CA27" s="56"/>
      <c r="CB27" s="72"/>
      <c r="CC27" s="72"/>
      <c r="CD27" s="71"/>
      <c r="CE27" s="60" t="s">
        <v>725</v>
      </c>
      <c r="CF27" s="164" t="s">
        <v>726</v>
      </c>
      <c r="CG27" s="56" t="s">
        <v>723</v>
      </c>
      <c r="CH27" s="291" t="s">
        <v>724</v>
      </c>
      <c r="CI27" s="52" t="s">
        <v>142</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t="s">
        <v>142</v>
      </c>
      <c r="DH27" s="73" t="s">
        <v>142</v>
      </c>
      <c r="DI27" s="599" t="s">
        <v>142</v>
      </c>
      <c r="DJ27" s="600" t="s">
        <v>142</v>
      </c>
      <c r="DK27" s="76" t="s">
        <v>146</v>
      </c>
      <c r="DL27" s="76" t="s">
        <v>146</v>
      </c>
      <c r="DM27" s="76" t="s">
        <v>146</v>
      </c>
      <c r="DN27" s="790"/>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135">
      <c r="A28" s="48">
        <v>26</v>
      </c>
      <c r="B28" s="49">
        <v>202609</v>
      </c>
      <c r="C28" s="50" t="s">
        <v>1383</v>
      </c>
      <c r="D28" s="50" t="s">
        <v>133</v>
      </c>
      <c r="E28" s="51">
        <v>5939</v>
      </c>
      <c r="F28" s="596" t="s">
        <v>134</v>
      </c>
      <c r="G28" s="539" t="s">
        <v>712</v>
      </c>
      <c r="H28" s="597" t="s">
        <v>713</v>
      </c>
      <c r="I28" s="597" t="s">
        <v>714</v>
      </c>
      <c r="J28" s="688" t="s">
        <v>1384</v>
      </c>
      <c r="K28" s="598" t="s">
        <v>1385</v>
      </c>
      <c r="L28" s="55"/>
      <c r="M28" s="56" t="s">
        <v>1386</v>
      </c>
      <c r="N28" s="57" t="s">
        <v>1387</v>
      </c>
      <c r="O28" s="58" t="s">
        <v>142</v>
      </c>
      <c r="P28" s="59" t="s">
        <v>142</v>
      </c>
      <c r="Q28" s="60" t="s">
        <v>1169</v>
      </c>
      <c r="R28" s="77" t="s">
        <v>1292</v>
      </c>
      <c r="S28" s="55">
        <v>0</v>
      </c>
      <c r="T28" s="55">
        <v>0</v>
      </c>
      <c r="U28" s="55">
        <v>0</v>
      </c>
      <c r="V28" s="55">
        <v>100</v>
      </c>
      <c r="W28" s="55">
        <v>0</v>
      </c>
      <c r="X28" s="55">
        <v>0</v>
      </c>
      <c r="Y28" s="55">
        <v>0</v>
      </c>
      <c r="Z28" s="55">
        <v>0</v>
      </c>
      <c r="AA28" s="55">
        <v>0</v>
      </c>
      <c r="AB28" s="53">
        <v>100</v>
      </c>
      <c r="AC28" s="52" t="s">
        <v>199</v>
      </c>
      <c r="AD28" s="55" t="s">
        <v>190</v>
      </c>
      <c r="AE28" s="55" t="s">
        <v>142</v>
      </c>
      <c r="AF28" s="55" t="s">
        <v>146</v>
      </c>
      <c r="AG28" s="55" t="s">
        <v>142</v>
      </c>
      <c r="AH28" s="55">
        <v>2</v>
      </c>
      <c r="AI28" s="55">
        <v>15</v>
      </c>
      <c r="AJ28" s="62">
        <v>30</v>
      </c>
      <c r="AK28" s="63">
        <v>46353</v>
      </c>
      <c r="AL28" s="332">
        <f>WEEKDAY(Sheet_1_Table_1_138[[#This Row],[Lesson 1 
Date 
(DD-MMM-YYYY)]])</f>
        <v>6</v>
      </c>
      <c r="AM28" s="65">
        <v>0.625</v>
      </c>
      <c r="AN28" s="66">
        <v>0.70833333333333337</v>
      </c>
      <c r="AO28" s="431" t="s">
        <v>1388</v>
      </c>
      <c r="AP28" s="68"/>
      <c r="AQ28" s="64">
        <v>7</v>
      </c>
      <c r="AR28" s="65"/>
      <c r="AS28" s="66"/>
      <c r="AT28" s="66"/>
      <c r="AU28" s="63"/>
      <c r="AV28" s="64">
        <v>7</v>
      </c>
      <c r="AW28" s="65"/>
      <c r="AX28" s="66"/>
      <c r="AY28" s="67"/>
      <c r="AZ28" s="68"/>
      <c r="BA28" s="64">
        <v>7</v>
      </c>
      <c r="BB28" s="65"/>
      <c r="BC28" s="66"/>
      <c r="BD28" s="66"/>
      <c r="BE28" s="63"/>
      <c r="BF28" s="64">
        <v>7</v>
      </c>
      <c r="BG28" s="65"/>
      <c r="BH28" s="66"/>
      <c r="BI28" s="67"/>
      <c r="BJ28" s="68"/>
      <c r="BK28" s="64">
        <v>7</v>
      </c>
      <c r="BL28" s="65"/>
      <c r="BM28" s="66"/>
      <c r="BN28" s="66"/>
      <c r="BO28" s="54"/>
      <c r="BP28" s="69" t="s">
        <v>1389</v>
      </c>
      <c r="BQ28" s="55"/>
      <c r="BR28" s="57"/>
      <c r="BS28" s="52"/>
      <c r="BT28" s="56"/>
      <c r="BU28" s="56"/>
      <c r="BV28" s="70"/>
      <c r="BW28" s="60"/>
      <c r="BX28" s="71"/>
      <c r="BY28" s="56"/>
      <c r="BZ28" s="56"/>
      <c r="CA28" s="56"/>
      <c r="CB28" s="72"/>
      <c r="CC28" s="72"/>
      <c r="CD28" s="71"/>
      <c r="CE28" s="60" t="s">
        <v>737</v>
      </c>
      <c r="CF28" s="164" t="s">
        <v>738</v>
      </c>
      <c r="CG28" s="56" t="s">
        <v>723</v>
      </c>
      <c r="CH28" s="291" t="s">
        <v>724</v>
      </c>
      <c r="CI28" s="52" t="s">
        <v>142</v>
      </c>
      <c r="CJ28" s="52" t="s">
        <v>142</v>
      </c>
      <c r="CK28" s="52" t="s">
        <v>142</v>
      </c>
      <c r="CL28" s="52" t="s">
        <v>146</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t="s">
        <v>142</v>
      </c>
      <c r="DH28" s="73" t="s">
        <v>142</v>
      </c>
      <c r="DI28" s="599" t="s">
        <v>142</v>
      </c>
      <c r="DJ28" s="600" t="s">
        <v>142</v>
      </c>
      <c r="DK28" s="76" t="s">
        <v>146</v>
      </c>
      <c r="DL28" s="76" t="s">
        <v>146</v>
      </c>
      <c r="DM28" s="76" t="s">
        <v>146</v>
      </c>
      <c r="DN28" s="790"/>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105">
      <c r="A29" s="48">
        <v>27</v>
      </c>
      <c r="B29" s="49">
        <v>202609</v>
      </c>
      <c r="C29" s="50" t="s">
        <v>1390</v>
      </c>
      <c r="D29" s="50" t="s">
        <v>251</v>
      </c>
      <c r="E29" s="51">
        <v>5810</v>
      </c>
      <c r="F29" s="52" t="s">
        <v>1391</v>
      </c>
      <c r="G29" s="53" t="s">
        <v>157</v>
      </c>
      <c r="H29" s="52"/>
      <c r="I29" s="59"/>
      <c r="J29" s="60"/>
      <c r="K29" s="290" t="s">
        <v>1392</v>
      </c>
      <c r="L29" s="55"/>
      <c r="M29" s="56" t="s">
        <v>1393</v>
      </c>
      <c r="N29" s="57" t="s">
        <v>1394</v>
      </c>
      <c r="O29" s="58" t="s">
        <v>146</v>
      </c>
      <c r="P29" s="59" t="s">
        <v>146</v>
      </c>
      <c r="Q29" s="60" t="s">
        <v>1169</v>
      </c>
      <c r="R29" s="61" t="e">
        <f>VLOOKUP([13]!Sheet_1_Table_1_13[[#This Row],[Learning Domain]],[13]List!$A$7:$B$12,2,0)</f>
        <v>#REF!</v>
      </c>
      <c r="S29" s="55">
        <v>0</v>
      </c>
      <c r="T29" s="55">
        <v>0</v>
      </c>
      <c r="U29" s="55">
        <v>0</v>
      </c>
      <c r="V29" s="55">
        <v>30</v>
      </c>
      <c r="W29" s="55">
        <v>50</v>
      </c>
      <c r="X29" s="55">
        <v>20</v>
      </c>
      <c r="Y29" s="55">
        <v>0</v>
      </c>
      <c r="Z29" s="55">
        <v>0</v>
      </c>
      <c r="AA29" s="55">
        <v>0</v>
      </c>
      <c r="AB29" s="53" t="e">
        <f>SUM([13]!Sheet_1_Table_1_13[[#This Row],[Leadership LS]:[Career Development  CR]])</f>
        <v>#REF!</v>
      </c>
      <c r="AC29" s="52" t="s">
        <v>199</v>
      </c>
      <c r="AD29" s="55" t="s">
        <v>190</v>
      </c>
      <c r="AE29" s="55" t="s">
        <v>146</v>
      </c>
      <c r="AF29" s="55" t="s">
        <v>142</v>
      </c>
      <c r="AG29" s="55" t="s">
        <v>142</v>
      </c>
      <c r="AH29" s="55">
        <v>2</v>
      </c>
      <c r="AI29" s="55">
        <v>20</v>
      </c>
      <c r="AJ29" s="62">
        <f>SUM(Sheet_1_Table_1_138[[#This Row],[ILP Units Per Session]]*Sheet_1_Table_1_138[[#This Row],[Quota]])</f>
        <v>40</v>
      </c>
      <c r="AK29" s="63">
        <v>46288</v>
      </c>
      <c r="AL29" s="332">
        <f>WEEKDAY(Sheet_1_Table_1_138[[#This Row],[Lesson 1 
Date 
(DD-MMM-YYYY)]])</f>
        <v>4</v>
      </c>
      <c r="AM29" s="65">
        <v>0.6875</v>
      </c>
      <c r="AN29" s="66">
        <v>0.77083333333333337</v>
      </c>
      <c r="AO29" s="431" t="s">
        <v>1395</v>
      </c>
      <c r="AP29" s="68"/>
      <c r="AQ29" s="64" t="e">
        <f>WEEKDAY([13]!Sheet_1_Table_1_13[[#This Row],[Lesson 2
Date 
(DD-MMM-YYYY)]])</f>
        <v>#REF!</v>
      </c>
      <c r="AR29" s="65"/>
      <c r="AS29" s="66"/>
      <c r="AT29" s="66"/>
      <c r="AU29" s="63"/>
      <c r="AV29" s="64" t="e">
        <f>WEEKDAY([13]!Sheet_1_Table_1_13[[#This Row],[Lesson 3
Date 
(DD-MMM-YYYY)]])</f>
        <v>#REF!</v>
      </c>
      <c r="AW29" s="65"/>
      <c r="AX29" s="66"/>
      <c r="AY29" s="67"/>
      <c r="AZ29" s="68"/>
      <c r="BA29" s="64" t="e">
        <f>WEEKDAY([13]!Sheet_1_Table_1_13[[#This Row],[Lesson 4
Date 
(DD-MMM-YYYY)]])</f>
        <v>#REF!</v>
      </c>
      <c r="BB29" s="65"/>
      <c r="BC29" s="66"/>
      <c r="BD29" s="66"/>
      <c r="BE29" s="63"/>
      <c r="BF29" s="64" t="e">
        <f>WEEKDAY([13]!Sheet_1_Table_1_13[[#This Row],[Lesson 5
Date 
(DD-MMM-YYYY)]])</f>
        <v>#REF!</v>
      </c>
      <c r="BG29" s="65"/>
      <c r="BH29" s="66"/>
      <c r="BI29" s="67"/>
      <c r="BJ29" s="68"/>
      <c r="BK29" s="64" t="e">
        <f>WEEKDAY([13]!Sheet_1_Table_1_13[[#This Row],[Lesson 6
Date 
(DD-MMM-YYYY)]])</f>
        <v>#REF!</v>
      </c>
      <c r="BL29" s="65"/>
      <c r="BM29" s="66"/>
      <c r="BN29" s="66"/>
      <c r="BO29" s="54"/>
      <c r="BP29" s="69" t="s">
        <v>1396</v>
      </c>
      <c r="BQ29" s="55" t="s">
        <v>1397</v>
      </c>
      <c r="BR29" s="57" t="s">
        <v>184</v>
      </c>
      <c r="BS29" s="52"/>
      <c r="BT29" s="56"/>
      <c r="BU29" s="56"/>
      <c r="BV29" s="70"/>
      <c r="BW29" s="60"/>
      <c r="BX29" s="71"/>
      <c r="BY29" s="56" t="s">
        <v>149</v>
      </c>
      <c r="BZ29" s="56"/>
      <c r="CA29" s="56" t="s">
        <v>149</v>
      </c>
      <c r="CB29" s="72"/>
      <c r="CC29" s="72"/>
      <c r="CD29" s="71"/>
      <c r="CE29" s="60" t="s">
        <v>1398</v>
      </c>
      <c r="CF29" s="592" t="s">
        <v>1399</v>
      </c>
      <c r="CG29" s="56"/>
      <c r="CH29" s="57"/>
      <c r="CI29" s="52" t="s">
        <v>142</v>
      </c>
      <c r="CJ29" s="52" t="s">
        <v>142</v>
      </c>
      <c r="CK29" s="52" t="s">
        <v>142</v>
      </c>
      <c r="CL29" s="52" t="s">
        <v>142</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N29" s="790"/>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75">
      <c r="A30" s="48">
        <v>28</v>
      </c>
      <c r="B30" s="49">
        <v>202609</v>
      </c>
      <c r="C30" s="197" t="s">
        <v>1400</v>
      </c>
      <c r="D30" s="197" t="s">
        <v>251</v>
      </c>
      <c r="E30" s="198">
        <v>5811</v>
      </c>
      <c r="F30" s="52" t="s">
        <v>1391</v>
      </c>
      <c r="G30" s="53" t="s">
        <v>157</v>
      </c>
      <c r="H30" s="52"/>
      <c r="I30" s="59"/>
      <c r="J30" s="214"/>
      <c r="K30" s="290" t="s">
        <v>1401</v>
      </c>
      <c r="L30" s="55"/>
      <c r="M30" s="56" t="s">
        <v>1402</v>
      </c>
      <c r="N30" s="211" t="s">
        <v>1403</v>
      </c>
      <c r="O30" s="58" t="s">
        <v>146</v>
      </c>
      <c r="P30" s="450" t="s">
        <v>146</v>
      </c>
      <c r="Q30" s="214" t="s">
        <v>1169</v>
      </c>
      <c r="R30" s="77" t="e">
        <f>VLOOKUP([13]!Sheet_1_Table_1_13[[#This Row],[Learning Domain]],[13]List!$A$7:$B$12,2,0)</f>
        <v>#REF!</v>
      </c>
      <c r="S30" s="55">
        <v>0</v>
      </c>
      <c r="T30" s="55">
        <v>0</v>
      </c>
      <c r="U30" s="55">
        <v>0</v>
      </c>
      <c r="V30" s="55">
        <v>30</v>
      </c>
      <c r="W30" s="55">
        <v>35</v>
      </c>
      <c r="X30" s="55">
        <v>35</v>
      </c>
      <c r="Y30" s="55">
        <v>0</v>
      </c>
      <c r="Z30" s="55">
        <v>0</v>
      </c>
      <c r="AA30" s="55">
        <v>0</v>
      </c>
      <c r="AB30" s="53" t="e">
        <f>SUM([13]!Sheet_1_Table_1_13[[#This Row],[Leadership LS]:[Career Development  CR]])</f>
        <v>#REF!</v>
      </c>
      <c r="AC30" s="52" t="s">
        <v>199</v>
      </c>
      <c r="AD30" s="201" t="s">
        <v>190</v>
      </c>
      <c r="AE30" s="201" t="s">
        <v>146</v>
      </c>
      <c r="AF30" s="201" t="s">
        <v>142</v>
      </c>
      <c r="AG30" s="201" t="s">
        <v>142</v>
      </c>
      <c r="AH30" s="201">
        <v>2</v>
      </c>
      <c r="AI30" s="55">
        <v>20</v>
      </c>
      <c r="AJ30" s="62">
        <f>SUM(Sheet_1_Table_1_138[[#This Row],[ILP Units Per Session]]*Sheet_1_Table_1_138[[#This Row],[Quota]])</f>
        <v>40</v>
      </c>
      <c r="AK30" s="203">
        <v>46295</v>
      </c>
      <c r="AL30" s="332">
        <f>WEEKDAY(Sheet_1_Table_1_138[[#This Row],[Lesson 1 
Date 
(DD-MMM-YYYY)]])</f>
        <v>4</v>
      </c>
      <c r="AM30" s="65">
        <v>0.6875</v>
      </c>
      <c r="AN30" s="66">
        <v>0.77083333333333337</v>
      </c>
      <c r="AO30" s="431" t="s">
        <v>1395</v>
      </c>
      <c r="AP30" s="68"/>
      <c r="AQ30" s="64" t="e">
        <f>WEEKDAY([13]!Sheet_1_Table_1_13[[#This Row],[Lesson 2
Date 
(DD-MMM-YYYY)]])</f>
        <v>#REF!</v>
      </c>
      <c r="AR30" s="65"/>
      <c r="AS30" s="66"/>
      <c r="AT30" s="66"/>
      <c r="AU30" s="203"/>
      <c r="AV30" s="165" t="e">
        <f>WEEKDAY([13]!Sheet_1_Table_1_13[[#This Row],[Lesson 3
Date 
(DD-MMM-YYYY)]])</f>
        <v>#REF!</v>
      </c>
      <c r="AW30" s="204"/>
      <c r="AX30" s="205"/>
      <c r="AY30" s="207"/>
      <c r="AZ30" s="68"/>
      <c r="BA30" s="64" t="e">
        <f>WEEKDAY([13]!Sheet_1_Table_1_13[[#This Row],[Lesson 4
Date 
(DD-MMM-YYYY)]])</f>
        <v>#REF!</v>
      </c>
      <c r="BB30" s="65"/>
      <c r="BC30" s="66"/>
      <c r="BD30" s="66"/>
      <c r="BE30" s="203"/>
      <c r="BF30" s="165" t="e">
        <f>WEEKDAY([13]!Sheet_1_Table_1_13[[#This Row],[Lesson 5
Date 
(DD-MMM-YYYY)]])</f>
        <v>#REF!</v>
      </c>
      <c r="BG30" s="204"/>
      <c r="BH30" s="205"/>
      <c r="BI30" s="207"/>
      <c r="BJ30" s="68"/>
      <c r="BK30" s="165" t="e">
        <f>WEEKDAY([13]!Sheet_1_Table_1_13[[#This Row],[Lesson 6
Date 
(DD-MMM-YYYY)]])</f>
        <v>#REF!</v>
      </c>
      <c r="BL30" s="204"/>
      <c r="BM30" s="205"/>
      <c r="BN30" s="205"/>
      <c r="BO30" s="208"/>
      <c r="BP30" s="69" t="s">
        <v>1396</v>
      </c>
      <c r="BQ30" s="55" t="s">
        <v>1397</v>
      </c>
      <c r="BR30" s="211"/>
      <c r="BS30" s="52"/>
      <c r="BT30" s="209"/>
      <c r="BU30" s="201"/>
      <c r="BV30" s="70"/>
      <c r="BW30" s="60"/>
      <c r="BX30" s="71"/>
      <c r="BY30" s="210" t="s">
        <v>149</v>
      </c>
      <c r="BZ30" s="210"/>
      <c r="CA30" s="210" t="s">
        <v>149</v>
      </c>
      <c r="CB30" s="212"/>
      <c r="CC30" s="212"/>
      <c r="CD30" s="213"/>
      <c r="CE30" s="60" t="s">
        <v>1398</v>
      </c>
      <c r="CF30" s="692" t="s">
        <v>1399</v>
      </c>
      <c r="CG30" s="56"/>
      <c r="CH30" s="57"/>
      <c r="CI30" s="215" t="s">
        <v>142</v>
      </c>
      <c r="CJ30" s="52" t="s">
        <v>142</v>
      </c>
      <c r="CK30" s="52" t="s">
        <v>142</v>
      </c>
      <c r="CL30" s="52" t="s">
        <v>142</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216"/>
      <c r="DH30" s="216"/>
      <c r="DI30" s="74"/>
      <c r="DJ30" s="75"/>
      <c r="DK30" s="76" t="s">
        <v>146</v>
      </c>
      <c r="DL30" s="76" t="s">
        <v>146</v>
      </c>
      <c r="DM30" s="76" t="s">
        <v>146</v>
      </c>
      <c r="DN30" s="790"/>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75">
      <c r="A31" s="48">
        <v>29</v>
      </c>
      <c r="B31" s="49">
        <v>202609</v>
      </c>
      <c r="C31" s="50" t="s">
        <v>1404</v>
      </c>
      <c r="D31" s="50" t="s">
        <v>174</v>
      </c>
      <c r="E31" s="198">
        <v>5812</v>
      </c>
      <c r="F31" s="52" t="s">
        <v>1391</v>
      </c>
      <c r="G31" s="53" t="s">
        <v>157</v>
      </c>
      <c r="H31" s="52"/>
      <c r="I31" s="59"/>
      <c r="J31" s="214"/>
      <c r="K31" s="290" t="s">
        <v>1405</v>
      </c>
      <c r="L31" s="55"/>
      <c r="M31" s="56" t="s">
        <v>1406</v>
      </c>
      <c r="N31" s="211" t="s">
        <v>1407</v>
      </c>
      <c r="O31" s="58" t="s">
        <v>146</v>
      </c>
      <c r="P31" s="450" t="s">
        <v>146</v>
      </c>
      <c r="Q31" s="214" t="s">
        <v>1169</v>
      </c>
      <c r="R31" s="77" t="e">
        <f>VLOOKUP([13]!Sheet_1_Table_1_13[[#This Row],[Learning Domain]],[13]List!$A$7:$B$12,2,0)</f>
        <v>#REF!</v>
      </c>
      <c r="S31" s="55">
        <v>0</v>
      </c>
      <c r="T31" s="55">
        <v>0</v>
      </c>
      <c r="U31" s="55">
        <v>0</v>
      </c>
      <c r="V31" s="55">
        <v>30</v>
      </c>
      <c r="W31" s="55">
        <v>35</v>
      </c>
      <c r="X31" s="55">
        <v>35</v>
      </c>
      <c r="Y31" s="55">
        <v>0</v>
      </c>
      <c r="Z31" s="55">
        <v>0</v>
      </c>
      <c r="AA31" s="55">
        <v>0</v>
      </c>
      <c r="AB31" s="53" t="e">
        <f>SUM([13]!Sheet_1_Table_1_13[[#This Row],[Leadership LS]:[Career Development  CR]])</f>
        <v>#REF!</v>
      </c>
      <c r="AC31" s="52" t="s">
        <v>245</v>
      </c>
      <c r="AD31" s="201" t="s">
        <v>190</v>
      </c>
      <c r="AE31" s="201" t="s">
        <v>146</v>
      </c>
      <c r="AF31" s="201" t="s">
        <v>142</v>
      </c>
      <c r="AG31" s="201" t="s">
        <v>142</v>
      </c>
      <c r="AH31" s="201">
        <v>2</v>
      </c>
      <c r="AI31" s="55">
        <v>20</v>
      </c>
      <c r="AJ31" s="62">
        <f>SUM(Sheet_1_Table_1_138[[#This Row],[ILP Units Per Session]]*Sheet_1_Table_1_138[[#This Row],[Quota]])</f>
        <v>40</v>
      </c>
      <c r="AK31" s="203">
        <v>46309</v>
      </c>
      <c r="AL31" s="332">
        <f>WEEKDAY(Sheet_1_Table_1_138[[#This Row],[Lesson 1 
Date 
(DD-MMM-YYYY)]])</f>
        <v>4</v>
      </c>
      <c r="AM31" s="65">
        <v>0.6875</v>
      </c>
      <c r="AN31" s="66">
        <v>0.77083333333333337</v>
      </c>
      <c r="AO31" s="431" t="s">
        <v>1408</v>
      </c>
      <c r="AP31" s="68"/>
      <c r="AQ31" s="64" t="e">
        <f>WEEKDAY([13]!Sheet_1_Table_1_13[[#This Row],[Lesson 2
Date 
(DD-MMM-YYYY)]])</f>
        <v>#REF!</v>
      </c>
      <c r="AR31" s="65"/>
      <c r="AS31" s="66"/>
      <c r="AT31" s="66"/>
      <c r="AU31" s="203"/>
      <c r="AV31" s="165" t="e">
        <f>WEEKDAY([13]!Sheet_1_Table_1_13[[#This Row],[Lesson 3
Date 
(DD-MMM-YYYY)]])</f>
        <v>#REF!</v>
      </c>
      <c r="AW31" s="204"/>
      <c r="AX31" s="205"/>
      <c r="AY31" s="207"/>
      <c r="AZ31" s="68"/>
      <c r="BA31" s="64" t="e">
        <f>WEEKDAY([13]!Sheet_1_Table_1_13[[#This Row],[Lesson 4
Date 
(DD-MMM-YYYY)]])</f>
        <v>#REF!</v>
      </c>
      <c r="BB31" s="65"/>
      <c r="BC31" s="66"/>
      <c r="BD31" s="66"/>
      <c r="BE31" s="203"/>
      <c r="BF31" s="165" t="e">
        <f>WEEKDAY([13]!Sheet_1_Table_1_13[[#This Row],[Lesson 5
Date 
(DD-MMM-YYYY)]])</f>
        <v>#REF!</v>
      </c>
      <c r="BG31" s="204"/>
      <c r="BH31" s="205"/>
      <c r="BI31" s="207"/>
      <c r="BJ31" s="68"/>
      <c r="BK31" s="165" t="e">
        <f>WEEKDAY([13]!Sheet_1_Table_1_13[[#This Row],[Lesson 6
Date 
(DD-MMM-YYYY)]])</f>
        <v>#REF!</v>
      </c>
      <c r="BL31" s="204"/>
      <c r="BM31" s="205"/>
      <c r="BN31" s="205"/>
      <c r="BO31" s="208"/>
      <c r="BP31" s="69" t="s">
        <v>1396</v>
      </c>
      <c r="BQ31" s="55" t="s">
        <v>1397</v>
      </c>
      <c r="BR31" s="211"/>
      <c r="BS31" s="52"/>
      <c r="BT31" s="209"/>
      <c r="BU31" s="201"/>
      <c r="BV31" s="70"/>
      <c r="BW31" s="60"/>
      <c r="BX31" s="71"/>
      <c r="BY31" s="210" t="s">
        <v>149</v>
      </c>
      <c r="BZ31" s="210"/>
      <c r="CA31" s="210" t="s">
        <v>149</v>
      </c>
      <c r="CB31" s="212"/>
      <c r="CC31" s="212"/>
      <c r="CD31" s="213"/>
      <c r="CE31" s="60" t="s">
        <v>1398</v>
      </c>
      <c r="CF31" s="692" t="s">
        <v>1399</v>
      </c>
      <c r="CG31" s="56"/>
      <c r="CH31" s="57"/>
      <c r="CI31" s="215" t="s">
        <v>142</v>
      </c>
      <c r="CJ31" s="52" t="s">
        <v>142</v>
      </c>
      <c r="CK31" s="52" t="s">
        <v>142</v>
      </c>
      <c r="CL31" s="52" t="s">
        <v>142</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216"/>
      <c r="DH31" s="216"/>
      <c r="DI31" s="74"/>
      <c r="DJ31" s="75"/>
      <c r="DK31" s="76" t="s">
        <v>146</v>
      </c>
      <c r="DL31" s="76" t="s">
        <v>146</v>
      </c>
      <c r="DM31" s="76" t="s">
        <v>146</v>
      </c>
      <c r="DN31" s="790"/>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90">
      <c r="A32" s="48">
        <v>30</v>
      </c>
      <c r="B32" s="49">
        <v>202609</v>
      </c>
      <c r="C32" s="50" t="s">
        <v>1409</v>
      </c>
      <c r="D32" s="50" t="s">
        <v>174</v>
      </c>
      <c r="E32" s="51">
        <v>5813</v>
      </c>
      <c r="F32" s="52" t="s">
        <v>1391</v>
      </c>
      <c r="G32" s="53" t="s">
        <v>157</v>
      </c>
      <c r="H32" s="52"/>
      <c r="I32" s="59"/>
      <c r="J32" s="60"/>
      <c r="K32" s="290" t="s">
        <v>1410</v>
      </c>
      <c r="L32" s="55"/>
      <c r="M32" s="56" t="s">
        <v>1411</v>
      </c>
      <c r="N32" s="57" t="s">
        <v>1412</v>
      </c>
      <c r="O32" s="78" t="s">
        <v>146</v>
      </c>
      <c r="P32" s="59" t="s">
        <v>146</v>
      </c>
      <c r="Q32" s="60" t="s">
        <v>1169</v>
      </c>
      <c r="R32" s="61" t="e">
        <f>VLOOKUP([13]!Sheet_1_Table_1_13[[#This Row],[Learning Domain]],[13]List!$A$7:$B$12,2,0)</f>
        <v>#REF!</v>
      </c>
      <c r="S32" s="55">
        <v>0</v>
      </c>
      <c r="T32" s="55">
        <v>0</v>
      </c>
      <c r="U32" s="55">
        <v>0</v>
      </c>
      <c r="V32" s="55">
        <v>30</v>
      </c>
      <c r="W32" s="55">
        <v>35</v>
      </c>
      <c r="X32" s="55">
        <v>35</v>
      </c>
      <c r="Y32" s="55">
        <v>0</v>
      </c>
      <c r="Z32" s="55">
        <v>0</v>
      </c>
      <c r="AA32" s="55">
        <v>0</v>
      </c>
      <c r="AB32" s="53" t="e">
        <f>SUM([13]!Sheet_1_Table_1_13[[#This Row],[Leadership LS]:[Career Development  CR]])</f>
        <v>#REF!</v>
      </c>
      <c r="AC32" s="52" t="s">
        <v>245</v>
      </c>
      <c r="AD32" s="55" t="s">
        <v>190</v>
      </c>
      <c r="AE32" s="55" t="s">
        <v>146</v>
      </c>
      <c r="AF32" s="55" t="s">
        <v>142</v>
      </c>
      <c r="AG32" s="55" t="s">
        <v>142</v>
      </c>
      <c r="AH32" s="55">
        <v>2</v>
      </c>
      <c r="AI32" s="55">
        <v>20</v>
      </c>
      <c r="AJ32" s="62">
        <f>SUM(Sheet_1_Table_1_138[[#This Row],[ILP Units Per Session]]*Sheet_1_Table_1_138[[#This Row],[Quota]])</f>
        <v>40</v>
      </c>
      <c r="AK32" s="63">
        <v>46323</v>
      </c>
      <c r="AL32" s="332">
        <f>WEEKDAY(Sheet_1_Table_1_138[[#This Row],[Lesson 1 
Date 
(DD-MMM-YYYY)]])</f>
        <v>4</v>
      </c>
      <c r="AM32" s="65">
        <v>0.6875</v>
      </c>
      <c r="AN32" s="66">
        <v>0.77083333333333337</v>
      </c>
      <c r="AO32" s="431" t="s">
        <v>584</v>
      </c>
      <c r="AP32" s="68"/>
      <c r="AQ32" s="64" t="e">
        <f>WEEKDAY([13]!Sheet_1_Table_1_13[[#This Row],[Lesson 2
Date 
(DD-MMM-YYYY)]])</f>
        <v>#REF!</v>
      </c>
      <c r="AR32" s="65"/>
      <c r="AS32" s="66"/>
      <c r="AT32" s="66"/>
      <c r="AU32" s="63"/>
      <c r="AV32" s="64" t="e">
        <f>WEEKDAY([13]!Sheet_1_Table_1_13[[#This Row],[Lesson 3
Date 
(DD-MMM-YYYY)]])</f>
        <v>#REF!</v>
      </c>
      <c r="AW32" s="65"/>
      <c r="AX32" s="66"/>
      <c r="AY32" s="67"/>
      <c r="AZ32" s="68"/>
      <c r="BA32" s="64" t="e">
        <f>WEEKDAY([13]!Sheet_1_Table_1_13[[#This Row],[Lesson 4
Date 
(DD-MMM-YYYY)]])</f>
        <v>#REF!</v>
      </c>
      <c r="BB32" s="65"/>
      <c r="BC32" s="66"/>
      <c r="BD32" s="66"/>
      <c r="BE32" s="63"/>
      <c r="BF32" s="64" t="e">
        <f>WEEKDAY([13]!Sheet_1_Table_1_13[[#This Row],[Lesson 5
Date 
(DD-MMM-YYYY)]])</f>
        <v>#REF!</v>
      </c>
      <c r="BG32" s="65"/>
      <c r="BH32" s="66"/>
      <c r="BI32" s="67"/>
      <c r="BJ32" s="68"/>
      <c r="BK32" s="64" t="e">
        <f>WEEKDAY([13]!Sheet_1_Table_1_13[[#This Row],[Lesson 6
Date 
(DD-MMM-YYYY)]])</f>
        <v>#REF!</v>
      </c>
      <c r="BL32" s="65"/>
      <c r="BM32" s="66"/>
      <c r="BN32" s="66"/>
      <c r="BO32" s="54"/>
      <c r="BP32" s="69" t="s">
        <v>1396</v>
      </c>
      <c r="BQ32" s="55" t="s">
        <v>1397</v>
      </c>
      <c r="BR32" s="57"/>
      <c r="BS32" s="52"/>
      <c r="BT32" s="56"/>
      <c r="BU32" s="56"/>
      <c r="BV32" s="70"/>
      <c r="BW32" s="60"/>
      <c r="BX32" s="71"/>
      <c r="BY32" s="56" t="s">
        <v>184</v>
      </c>
      <c r="BZ32" s="56"/>
      <c r="CA32" s="56" t="s">
        <v>184</v>
      </c>
      <c r="CB32" s="72"/>
      <c r="CC32" s="72"/>
      <c r="CD32" s="71"/>
      <c r="CE32" s="60" t="s">
        <v>1398</v>
      </c>
      <c r="CF32" s="592" t="s">
        <v>1399</v>
      </c>
      <c r="CG32" s="56"/>
      <c r="CH32" s="57"/>
      <c r="CI32" s="52" t="s">
        <v>142</v>
      </c>
      <c r="CJ32" s="52" t="s">
        <v>142</v>
      </c>
      <c r="CK32" s="52" t="s">
        <v>142</v>
      </c>
      <c r="CL32" s="52" t="s">
        <v>142</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N32" s="790"/>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105">
      <c r="A33" s="48">
        <v>31</v>
      </c>
      <c r="B33" s="49">
        <v>202609</v>
      </c>
      <c r="C33" s="50" t="s">
        <v>1413</v>
      </c>
      <c r="D33" s="50" t="s">
        <v>205</v>
      </c>
      <c r="E33" s="51">
        <v>5814</v>
      </c>
      <c r="F33" s="52" t="s">
        <v>1391</v>
      </c>
      <c r="G33" s="53" t="s">
        <v>157</v>
      </c>
      <c r="H33" s="52"/>
      <c r="I33" s="59"/>
      <c r="J33" s="60"/>
      <c r="K33" s="290" t="s">
        <v>1414</v>
      </c>
      <c r="L33" s="55"/>
      <c r="M33" s="56" t="s">
        <v>1415</v>
      </c>
      <c r="N33" s="57" t="s">
        <v>1416</v>
      </c>
      <c r="O33" s="78" t="s">
        <v>146</v>
      </c>
      <c r="P33" s="59" t="s">
        <v>146</v>
      </c>
      <c r="Q33" s="60" t="s">
        <v>1169</v>
      </c>
      <c r="R33" s="77" t="e">
        <f>VLOOKUP([13]!Sheet_1_Table_1_13[[#This Row],[Learning Domain]],[13]List!$A$7:$B$12,2,0)</f>
        <v>#REF!</v>
      </c>
      <c r="S33" s="55">
        <v>0</v>
      </c>
      <c r="T33" s="55">
        <v>0</v>
      </c>
      <c r="U33" s="55">
        <v>35</v>
      </c>
      <c r="V33" s="55">
        <v>30</v>
      </c>
      <c r="W33" s="55">
        <v>35</v>
      </c>
      <c r="X33" s="55">
        <v>0</v>
      </c>
      <c r="Y33" s="55">
        <v>0</v>
      </c>
      <c r="Z33" s="55">
        <v>0</v>
      </c>
      <c r="AA33" s="55">
        <v>0</v>
      </c>
      <c r="AB33" s="53" t="e">
        <f>SUM([13]!Sheet_1_Table_1_13[[#This Row],[Leadership LS]:[Career Development  CR]])</f>
        <v>#REF!</v>
      </c>
      <c r="AC33" s="52" t="s">
        <v>245</v>
      </c>
      <c r="AD33" s="55" t="s">
        <v>190</v>
      </c>
      <c r="AE33" s="55" t="s">
        <v>146</v>
      </c>
      <c r="AF33" s="55" t="s">
        <v>142</v>
      </c>
      <c r="AG33" s="55" t="s">
        <v>142</v>
      </c>
      <c r="AH33" s="55">
        <v>2</v>
      </c>
      <c r="AI33" s="55">
        <v>25</v>
      </c>
      <c r="AJ33" s="62">
        <f>SUM(Sheet_1_Table_1_138[[#This Row],[ILP Units Per Session]]*Sheet_1_Table_1_138[[#This Row],[Quota]])</f>
        <v>50</v>
      </c>
      <c r="AK33" s="63">
        <v>46337</v>
      </c>
      <c r="AL33" s="332">
        <f>WEEKDAY(Sheet_1_Table_1_138[[#This Row],[Lesson 1 
Date 
(DD-MMM-YYYY)]])</f>
        <v>4</v>
      </c>
      <c r="AM33" s="65">
        <v>0.6875</v>
      </c>
      <c r="AN33" s="66">
        <v>0.77083333333333337</v>
      </c>
      <c r="AO33" s="431" t="s">
        <v>1417</v>
      </c>
      <c r="AP33" s="68"/>
      <c r="AQ33" s="64" t="e">
        <f>WEEKDAY([13]!Sheet_1_Table_1_13[[#This Row],[Lesson 2
Date 
(DD-MMM-YYYY)]])</f>
        <v>#REF!</v>
      </c>
      <c r="AR33" s="65"/>
      <c r="AS33" s="66"/>
      <c r="AT33" s="66"/>
      <c r="AU33" s="63"/>
      <c r="AV33" s="64" t="e">
        <f>WEEKDAY([13]!Sheet_1_Table_1_13[[#This Row],[Lesson 3
Date 
(DD-MMM-YYYY)]])</f>
        <v>#REF!</v>
      </c>
      <c r="AW33" s="65"/>
      <c r="AX33" s="66"/>
      <c r="AY33" s="67"/>
      <c r="AZ33" s="68"/>
      <c r="BA33" s="64" t="e">
        <f>WEEKDAY([13]!Sheet_1_Table_1_13[[#This Row],[Lesson 4
Date 
(DD-MMM-YYYY)]])</f>
        <v>#REF!</v>
      </c>
      <c r="BB33" s="65"/>
      <c r="BC33" s="66"/>
      <c r="BD33" s="66"/>
      <c r="BE33" s="63"/>
      <c r="BF33" s="64" t="e">
        <f>WEEKDAY([13]!Sheet_1_Table_1_13[[#This Row],[Lesson 5
Date 
(DD-MMM-YYYY)]])</f>
        <v>#REF!</v>
      </c>
      <c r="BG33" s="65"/>
      <c r="BH33" s="66"/>
      <c r="BI33" s="67"/>
      <c r="BJ33" s="68"/>
      <c r="BK33" s="64" t="e">
        <f>WEEKDAY([13]!Sheet_1_Table_1_13[[#This Row],[Lesson 6
Date 
(DD-MMM-YYYY)]])</f>
        <v>#REF!</v>
      </c>
      <c r="BL33" s="65"/>
      <c r="BM33" s="66"/>
      <c r="BN33" s="66"/>
      <c r="BO33" s="54"/>
      <c r="BP33" s="69" t="s">
        <v>1396</v>
      </c>
      <c r="BQ33" s="55" t="s">
        <v>1397</v>
      </c>
      <c r="BR33" s="57"/>
      <c r="BS33" s="52"/>
      <c r="BT33" s="56"/>
      <c r="BU33" s="56"/>
      <c r="BV33" s="70"/>
      <c r="BW33" s="60"/>
      <c r="BX33" s="71"/>
      <c r="BY33" s="56"/>
      <c r="BZ33" s="56" t="s">
        <v>1418</v>
      </c>
      <c r="CA33" s="56" t="s">
        <v>1419</v>
      </c>
      <c r="CB33" s="72"/>
      <c r="CC33" s="72"/>
      <c r="CD33" s="71"/>
      <c r="CE33" s="60" t="s">
        <v>1398</v>
      </c>
      <c r="CF33" s="592" t="s">
        <v>1399</v>
      </c>
      <c r="CG33" s="56"/>
      <c r="CH33" s="57"/>
      <c r="CI33" s="52" t="s">
        <v>142</v>
      </c>
      <c r="CJ33" s="52" t="s">
        <v>142</v>
      </c>
      <c r="CK33" s="52" t="s">
        <v>142</v>
      </c>
      <c r="CL33" s="52" t="s">
        <v>142</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N33" s="790"/>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90">
      <c r="A34" s="48">
        <v>32</v>
      </c>
      <c r="B34" s="49">
        <v>202609</v>
      </c>
      <c r="C34" s="50" t="s">
        <v>1420</v>
      </c>
      <c r="D34" s="50" t="s">
        <v>205</v>
      </c>
      <c r="E34" s="51">
        <v>5815</v>
      </c>
      <c r="F34" s="52" t="s">
        <v>1391</v>
      </c>
      <c r="G34" s="53" t="s">
        <v>157</v>
      </c>
      <c r="H34" s="52"/>
      <c r="I34" s="59"/>
      <c r="J34" s="60"/>
      <c r="K34" s="290" t="s">
        <v>1421</v>
      </c>
      <c r="L34" s="55"/>
      <c r="M34" s="56" t="s">
        <v>1422</v>
      </c>
      <c r="N34" s="57" t="s">
        <v>1423</v>
      </c>
      <c r="O34" s="78" t="s">
        <v>146</v>
      </c>
      <c r="P34" s="59" t="s">
        <v>146</v>
      </c>
      <c r="Q34" s="60" t="s">
        <v>1169</v>
      </c>
      <c r="R34" s="77" t="e">
        <f>VLOOKUP([13]!Sheet_1_Table_1_13[[#This Row],[Learning Domain]],[13]List!$A$7:$B$12,2,0)</f>
        <v>#REF!</v>
      </c>
      <c r="S34" s="55">
        <v>0</v>
      </c>
      <c r="T34" s="55">
        <v>0</v>
      </c>
      <c r="U34" s="55">
        <v>0</v>
      </c>
      <c r="V34" s="55">
        <v>30</v>
      </c>
      <c r="W34" s="55">
        <v>35</v>
      </c>
      <c r="X34" s="55">
        <v>35</v>
      </c>
      <c r="Y34" s="55">
        <v>0</v>
      </c>
      <c r="Z34" s="55">
        <v>0</v>
      </c>
      <c r="AA34" s="55">
        <v>0</v>
      </c>
      <c r="AB34" s="53" t="e">
        <f>SUM([13]!Sheet_1_Table_1_13[[#This Row],[Leadership LS]:[Career Development  CR]])</f>
        <v>#REF!</v>
      </c>
      <c r="AC34" s="52" t="s">
        <v>245</v>
      </c>
      <c r="AD34" s="55" t="s">
        <v>190</v>
      </c>
      <c r="AE34" s="55" t="s">
        <v>146</v>
      </c>
      <c r="AF34" s="55" t="s">
        <v>142</v>
      </c>
      <c r="AG34" s="55" t="s">
        <v>142</v>
      </c>
      <c r="AH34" s="55">
        <v>2</v>
      </c>
      <c r="AI34" s="55">
        <v>25</v>
      </c>
      <c r="AJ34" s="62">
        <f>SUM(Sheet_1_Table_1_138[[#This Row],[ILP Units Per Session]]*Sheet_1_Table_1_138[[#This Row],[Quota]])</f>
        <v>50</v>
      </c>
      <c r="AK34" s="63">
        <v>46351</v>
      </c>
      <c r="AL34" s="332">
        <f>WEEKDAY(Sheet_1_Table_1_138[[#This Row],[Lesson 1 
Date 
(DD-MMM-YYYY)]])</f>
        <v>4</v>
      </c>
      <c r="AM34" s="65">
        <v>0.6875</v>
      </c>
      <c r="AN34" s="66">
        <v>0.77083333333333337</v>
      </c>
      <c r="AO34" s="67" t="s">
        <v>1424</v>
      </c>
      <c r="AP34" s="68"/>
      <c r="AQ34" s="64" t="e">
        <f>WEEKDAY([13]!Sheet_1_Table_1_13[[#This Row],[Lesson 2
Date 
(DD-MMM-YYYY)]])</f>
        <v>#REF!</v>
      </c>
      <c r="AR34" s="65"/>
      <c r="AS34" s="66"/>
      <c r="AT34" s="66"/>
      <c r="AU34" s="63"/>
      <c r="AV34" s="165" t="e">
        <f>WEEKDAY([13]!Sheet_1_Table_1_13[[#This Row],[Lesson 3
Date 
(DD-MMM-YYYY)]])</f>
        <v>#REF!</v>
      </c>
      <c r="AW34" s="65"/>
      <c r="AX34" s="66"/>
      <c r="AY34" s="67"/>
      <c r="AZ34" s="68"/>
      <c r="BA34" s="64" t="e">
        <f>WEEKDAY([13]!Sheet_1_Table_1_13[[#This Row],[Lesson 4
Date 
(DD-MMM-YYYY)]])</f>
        <v>#REF!</v>
      </c>
      <c r="BB34" s="65"/>
      <c r="BC34" s="66"/>
      <c r="BD34" s="66"/>
      <c r="BE34" s="63"/>
      <c r="BF34" s="165" t="e">
        <f>WEEKDAY([13]!Sheet_1_Table_1_13[[#This Row],[Lesson 5
Date 
(DD-MMM-YYYY)]])</f>
        <v>#REF!</v>
      </c>
      <c r="BG34" s="65"/>
      <c r="BH34" s="66"/>
      <c r="BI34" s="67"/>
      <c r="BJ34" s="68"/>
      <c r="BK34" s="165" t="e">
        <f>WEEKDAY([13]!Sheet_1_Table_1_13[[#This Row],[Lesson 6
Date 
(DD-MMM-YYYY)]])</f>
        <v>#REF!</v>
      </c>
      <c r="BL34" s="65"/>
      <c r="BM34" s="66"/>
      <c r="BN34" s="66"/>
      <c r="BO34" s="54"/>
      <c r="BP34" s="69" t="s">
        <v>1396</v>
      </c>
      <c r="BQ34" s="55" t="s">
        <v>1397</v>
      </c>
      <c r="BR34" s="57"/>
      <c r="BS34" s="52"/>
      <c r="BT34" s="56"/>
      <c r="BU34" s="56"/>
      <c r="BV34" s="70"/>
      <c r="BW34" s="60"/>
      <c r="BX34" s="71"/>
      <c r="BY34" s="56" t="s">
        <v>184</v>
      </c>
      <c r="BZ34" s="56" t="s">
        <v>1425</v>
      </c>
      <c r="CA34" s="56" t="s">
        <v>1419</v>
      </c>
      <c r="CB34" s="72"/>
      <c r="CC34" s="72"/>
      <c r="CD34" s="71"/>
      <c r="CE34" s="60" t="s">
        <v>1398</v>
      </c>
      <c r="CF34" s="592" t="s">
        <v>1399</v>
      </c>
      <c r="CG34" s="56"/>
      <c r="CH34" s="57"/>
      <c r="CI34" s="52" t="s">
        <v>142</v>
      </c>
      <c r="CJ34" s="52" t="s">
        <v>142</v>
      </c>
      <c r="CK34" s="52" t="s">
        <v>142</v>
      </c>
      <c r="CL34" s="52" t="s">
        <v>142</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N34" s="790"/>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150">
      <c r="A35" s="48">
        <v>33</v>
      </c>
      <c r="B35" s="49">
        <v>202609</v>
      </c>
      <c r="C35" s="50" t="s">
        <v>1426</v>
      </c>
      <c r="D35" s="50" t="s">
        <v>133</v>
      </c>
      <c r="E35" s="51">
        <v>5998</v>
      </c>
      <c r="F35" s="52" t="s">
        <v>134</v>
      </c>
      <c r="G35" s="53" t="s">
        <v>347</v>
      </c>
      <c r="H35" s="80"/>
      <c r="I35" s="290" t="s">
        <v>1427</v>
      </c>
      <c r="J35" s="60"/>
      <c r="K35" s="56" t="s">
        <v>1428</v>
      </c>
      <c r="L35" s="55"/>
      <c r="M35" s="56" t="s">
        <v>1429</v>
      </c>
      <c r="N35" s="57" t="s">
        <v>1430</v>
      </c>
      <c r="O35" s="177" t="s">
        <v>142</v>
      </c>
      <c r="P35" s="59" t="s">
        <v>142</v>
      </c>
      <c r="Q35" s="60" t="s">
        <v>1169</v>
      </c>
      <c r="R35" s="61" t="s">
        <v>1292</v>
      </c>
      <c r="S35" s="55">
        <v>0</v>
      </c>
      <c r="T35" s="55">
        <v>0</v>
      </c>
      <c r="U35" s="55">
        <v>0</v>
      </c>
      <c r="V35" s="55">
        <v>10</v>
      </c>
      <c r="W35" s="55">
        <v>80</v>
      </c>
      <c r="X35" s="55">
        <v>10</v>
      </c>
      <c r="Y35" s="55">
        <v>0</v>
      </c>
      <c r="Z35" s="55">
        <v>0</v>
      </c>
      <c r="AA35" s="55">
        <v>0</v>
      </c>
      <c r="AB35" s="53">
        <v>100</v>
      </c>
      <c r="AC35" s="52" t="s">
        <v>199</v>
      </c>
      <c r="AD35" s="55" t="s">
        <v>190</v>
      </c>
      <c r="AE35" s="55" t="s">
        <v>146</v>
      </c>
      <c r="AF35" s="55" t="s">
        <v>146</v>
      </c>
      <c r="AG35" s="55" t="s">
        <v>142</v>
      </c>
      <c r="AH35" s="174">
        <v>4</v>
      </c>
      <c r="AI35" s="55">
        <v>30</v>
      </c>
      <c r="AJ35" s="62">
        <v>120</v>
      </c>
      <c r="AK35" s="63">
        <v>46279</v>
      </c>
      <c r="AL35" s="64">
        <v>2</v>
      </c>
      <c r="AM35" s="65">
        <v>0.77083333333333337</v>
      </c>
      <c r="AN35" s="66">
        <v>0.85416666666666663</v>
      </c>
      <c r="AO35" s="67" t="s">
        <v>390</v>
      </c>
      <c r="AP35" s="68">
        <v>46286</v>
      </c>
      <c r="AQ35" s="64">
        <v>2</v>
      </c>
      <c r="AR35" s="65">
        <v>0.77083333333333337</v>
      </c>
      <c r="AS35" s="66">
        <v>0.85416666666666663</v>
      </c>
      <c r="AT35" s="66" t="s">
        <v>390</v>
      </c>
      <c r="AU35" s="63"/>
      <c r="AV35" s="165">
        <v>7</v>
      </c>
      <c r="AW35" s="65"/>
      <c r="AX35" s="66"/>
      <c r="AY35" s="67"/>
      <c r="AZ35" s="68"/>
      <c r="BA35" s="64">
        <v>7</v>
      </c>
      <c r="BB35" s="65"/>
      <c r="BC35" s="66"/>
      <c r="BD35" s="66"/>
      <c r="BE35" s="63"/>
      <c r="BF35" s="165">
        <v>7</v>
      </c>
      <c r="BG35" s="65"/>
      <c r="BH35" s="66"/>
      <c r="BI35" s="67"/>
      <c r="BJ35" s="68"/>
      <c r="BK35" s="165">
        <v>7</v>
      </c>
      <c r="BL35" s="65"/>
      <c r="BM35" s="66"/>
      <c r="BN35" s="66"/>
      <c r="BO35" s="54"/>
      <c r="BP35" s="69" t="s">
        <v>352</v>
      </c>
      <c r="BQ35" s="69"/>
      <c r="BR35" s="57"/>
      <c r="BS35" s="52"/>
      <c r="BT35" s="56"/>
      <c r="BU35" s="56"/>
      <c r="BV35" s="70"/>
      <c r="BW35" s="60"/>
      <c r="BX35" s="71"/>
      <c r="BY35" s="56" t="s">
        <v>184</v>
      </c>
      <c r="BZ35" s="56"/>
      <c r="CA35" s="56" t="s">
        <v>184</v>
      </c>
      <c r="CB35" s="72"/>
      <c r="CC35" s="72"/>
      <c r="CD35" s="71"/>
      <c r="CE35" s="60" t="s">
        <v>354</v>
      </c>
      <c r="CF35" s="71" t="s">
        <v>355</v>
      </c>
      <c r="CG35" s="56" t="s">
        <v>356</v>
      </c>
      <c r="CH35" s="57" t="s">
        <v>357</v>
      </c>
      <c r="CI35" s="52" t="s">
        <v>146</v>
      </c>
      <c r="CJ35" s="52" t="s">
        <v>142</v>
      </c>
      <c r="CK35" s="52" t="s">
        <v>142</v>
      </c>
      <c r="CL35" s="52" t="s">
        <v>142</v>
      </c>
      <c r="CM35" s="52" t="s">
        <v>146</v>
      </c>
      <c r="CN35" s="52" t="s">
        <v>142</v>
      </c>
      <c r="CO35" s="52" t="s">
        <v>142</v>
      </c>
      <c r="CP35" s="52" t="s">
        <v>142</v>
      </c>
      <c r="CQ35" s="52" t="s">
        <v>142</v>
      </c>
      <c r="CR35" s="52" t="s">
        <v>142</v>
      </c>
      <c r="CS35" s="52" t="s">
        <v>142</v>
      </c>
      <c r="CT35" s="52" t="s">
        <v>146</v>
      </c>
      <c r="CU35" s="52" t="s">
        <v>142</v>
      </c>
      <c r="CV35" s="52" t="s">
        <v>142</v>
      </c>
      <c r="CW35" s="52" t="s">
        <v>142</v>
      </c>
      <c r="CX35" s="52" t="s">
        <v>142</v>
      </c>
      <c r="CY35" s="52" t="s">
        <v>142</v>
      </c>
      <c r="CZ35" s="59" t="s">
        <v>142</v>
      </c>
      <c r="DA35" s="74" t="s">
        <v>142</v>
      </c>
      <c r="DB35" s="75" t="s">
        <v>142</v>
      </c>
      <c r="DC35" s="50" t="s">
        <v>156</v>
      </c>
      <c r="DD35" s="50" t="s">
        <v>146</v>
      </c>
      <c r="DE35" s="50" t="s">
        <v>157</v>
      </c>
      <c r="DF35" s="50" t="s">
        <v>146</v>
      </c>
      <c r="DG35" s="73"/>
      <c r="DH35" s="73"/>
      <c r="DI35" s="74"/>
      <c r="DJ35" s="75"/>
      <c r="DK35" s="76" t="s">
        <v>146</v>
      </c>
      <c r="DL35" s="76" t="s">
        <v>146</v>
      </c>
      <c r="DM35" s="76" t="s">
        <v>146</v>
      </c>
      <c r="DN35" s="790"/>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150">
      <c r="A36" s="48">
        <v>34</v>
      </c>
      <c r="B36" s="49">
        <v>202609</v>
      </c>
      <c r="C36" s="50" t="s">
        <v>1431</v>
      </c>
      <c r="D36" s="50" t="s">
        <v>133</v>
      </c>
      <c r="E36" s="51">
        <v>6000</v>
      </c>
      <c r="F36" s="52" t="s">
        <v>134</v>
      </c>
      <c r="G36" s="53" t="s">
        <v>347</v>
      </c>
      <c r="H36" s="80"/>
      <c r="I36" s="290" t="s">
        <v>1427</v>
      </c>
      <c r="J36" s="60"/>
      <c r="K36" s="56" t="s">
        <v>1432</v>
      </c>
      <c r="L36" s="55"/>
      <c r="M36" s="56" t="s">
        <v>1429</v>
      </c>
      <c r="N36" s="57" t="s">
        <v>1430</v>
      </c>
      <c r="O36" s="177" t="s">
        <v>142</v>
      </c>
      <c r="P36" s="59" t="s">
        <v>142</v>
      </c>
      <c r="Q36" s="60" t="s">
        <v>1169</v>
      </c>
      <c r="R36" s="61" t="s">
        <v>1292</v>
      </c>
      <c r="S36" s="55">
        <v>0</v>
      </c>
      <c r="T36" s="55">
        <v>0</v>
      </c>
      <c r="U36" s="55">
        <v>0</v>
      </c>
      <c r="V36" s="55">
        <v>10</v>
      </c>
      <c r="W36" s="55">
        <v>80</v>
      </c>
      <c r="X36" s="55">
        <v>10</v>
      </c>
      <c r="Y36" s="55">
        <v>0</v>
      </c>
      <c r="Z36" s="55">
        <v>0</v>
      </c>
      <c r="AA36" s="55">
        <v>0</v>
      </c>
      <c r="AB36" s="53">
        <v>100</v>
      </c>
      <c r="AC36" s="52" t="s">
        <v>199</v>
      </c>
      <c r="AD36" s="55" t="s">
        <v>190</v>
      </c>
      <c r="AE36" s="55" t="s">
        <v>142</v>
      </c>
      <c r="AF36" s="55" t="s">
        <v>146</v>
      </c>
      <c r="AG36" s="55" t="s">
        <v>146</v>
      </c>
      <c r="AH36" s="174">
        <v>4</v>
      </c>
      <c r="AI36" s="55">
        <v>40</v>
      </c>
      <c r="AJ36" s="62">
        <v>160</v>
      </c>
      <c r="AK36" s="63">
        <v>46287</v>
      </c>
      <c r="AL36" s="64">
        <v>3</v>
      </c>
      <c r="AM36" s="65">
        <v>0.77083333333333337</v>
      </c>
      <c r="AN36" s="66">
        <v>0.85416666666666663</v>
      </c>
      <c r="AO36" s="67" t="s">
        <v>390</v>
      </c>
      <c r="AP36" s="68">
        <v>46294</v>
      </c>
      <c r="AQ36" s="64">
        <v>3</v>
      </c>
      <c r="AR36" s="65">
        <v>0.77083333333333337</v>
      </c>
      <c r="AS36" s="66">
        <v>0.85416666666666663</v>
      </c>
      <c r="AT36" s="66" t="s">
        <v>390</v>
      </c>
      <c r="AU36" s="63"/>
      <c r="AV36" s="64">
        <v>7</v>
      </c>
      <c r="AW36" s="65"/>
      <c r="AX36" s="66"/>
      <c r="AY36" s="67"/>
      <c r="AZ36" s="68"/>
      <c r="BA36" s="64">
        <v>7</v>
      </c>
      <c r="BB36" s="65"/>
      <c r="BC36" s="66"/>
      <c r="BD36" s="66"/>
      <c r="BE36" s="63"/>
      <c r="BF36" s="64">
        <v>7</v>
      </c>
      <c r="BG36" s="65"/>
      <c r="BH36" s="66"/>
      <c r="BI36" s="67"/>
      <c r="BJ36" s="68"/>
      <c r="BK36" s="64">
        <v>7</v>
      </c>
      <c r="BL36" s="65"/>
      <c r="BM36" s="66"/>
      <c r="BN36" s="66"/>
      <c r="BO36" s="54"/>
      <c r="BP36" s="69" t="s">
        <v>352</v>
      </c>
      <c r="BQ36" s="55"/>
      <c r="BR36" s="57"/>
      <c r="BS36" s="52"/>
      <c r="BT36" s="56"/>
      <c r="BU36" s="56"/>
      <c r="BV36" s="70"/>
      <c r="BW36" s="60"/>
      <c r="BX36" s="71"/>
      <c r="BY36" s="56" t="s">
        <v>149</v>
      </c>
      <c r="BZ36" s="56"/>
      <c r="CA36" s="56" t="s">
        <v>149</v>
      </c>
      <c r="CB36" s="72"/>
      <c r="CC36" s="72"/>
      <c r="CD36" s="71"/>
      <c r="CE36" s="60" t="s">
        <v>354</v>
      </c>
      <c r="CF36" s="71" t="s">
        <v>355</v>
      </c>
      <c r="CG36" s="56" t="s">
        <v>356</v>
      </c>
      <c r="CH36" s="57" t="s">
        <v>357</v>
      </c>
      <c r="CI36" s="52" t="s">
        <v>146</v>
      </c>
      <c r="CJ36" s="52" t="s">
        <v>142</v>
      </c>
      <c r="CK36" s="52" t="s">
        <v>142</v>
      </c>
      <c r="CL36" s="52" t="s">
        <v>142</v>
      </c>
      <c r="CM36" s="52" t="s">
        <v>146</v>
      </c>
      <c r="CN36" s="52" t="s">
        <v>142</v>
      </c>
      <c r="CO36" s="52" t="s">
        <v>142</v>
      </c>
      <c r="CP36" s="52" t="s">
        <v>142</v>
      </c>
      <c r="CQ36" s="52" t="s">
        <v>142</v>
      </c>
      <c r="CR36" s="52" t="s">
        <v>142</v>
      </c>
      <c r="CS36" s="52" t="s">
        <v>142</v>
      </c>
      <c r="CT36" s="52" t="s">
        <v>146</v>
      </c>
      <c r="CU36" s="52" t="s">
        <v>142</v>
      </c>
      <c r="CV36" s="52" t="s">
        <v>142</v>
      </c>
      <c r="CW36" s="52" t="s">
        <v>142</v>
      </c>
      <c r="CX36" s="52" t="s">
        <v>142</v>
      </c>
      <c r="CY36" s="52" t="s">
        <v>142</v>
      </c>
      <c r="CZ36" s="59" t="s">
        <v>142</v>
      </c>
      <c r="DA36" s="74" t="s">
        <v>142</v>
      </c>
      <c r="DB36" s="75" t="s">
        <v>142</v>
      </c>
      <c r="DC36" s="50" t="s">
        <v>156</v>
      </c>
      <c r="DD36" s="50" t="s">
        <v>146</v>
      </c>
      <c r="DE36" s="50" t="s">
        <v>157</v>
      </c>
      <c r="DF36" s="50" t="s">
        <v>146</v>
      </c>
      <c r="DG36" s="73"/>
      <c r="DH36" s="73"/>
      <c r="DI36" s="74"/>
      <c r="DJ36" s="75"/>
      <c r="DK36" s="76" t="s">
        <v>146</v>
      </c>
      <c r="DL36" s="76" t="s">
        <v>146</v>
      </c>
      <c r="DM36" s="76" t="s">
        <v>146</v>
      </c>
      <c r="DN36" s="790"/>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120">
      <c r="A37" s="48">
        <v>35</v>
      </c>
      <c r="B37" s="49">
        <v>202609</v>
      </c>
      <c r="C37" s="50" t="s">
        <v>1433</v>
      </c>
      <c r="D37" s="50" t="s">
        <v>133</v>
      </c>
      <c r="E37" s="51">
        <v>6015</v>
      </c>
      <c r="F37" s="52" t="s">
        <v>134</v>
      </c>
      <c r="G37" s="53" t="s">
        <v>347</v>
      </c>
      <c r="H37" s="97"/>
      <c r="I37" s="775" t="s">
        <v>1434</v>
      </c>
      <c r="J37" s="60"/>
      <c r="K37" s="56" t="s">
        <v>1434</v>
      </c>
      <c r="L37" s="55" t="s">
        <v>1435</v>
      </c>
      <c r="M37" s="56" t="s">
        <v>1436</v>
      </c>
      <c r="N37" s="57" t="s">
        <v>1437</v>
      </c>
      <c r="O37" s="776" t="s">
        <v>142</v>
      </c>
      <c r="P37" s="96" t="s">
        <v>142</v>
      </c>
      <c r="Q37" s="60" t="s">
        <v>1169</v>
      </c>
      <c r="R37" s="77" t="s">
        <v>1292</v>
      </c>
      <c r="S37" s="55">
        <v>0</v>
      </c>
      <c r="T37" s="55">
        <v>0</v>
      </c>
      <c r="U37" s="55">
        <v>0</v>
      </c>
      <c r="V37" s="55">
        <v>50</v>
      </c>
      <c r="W37" s="55">
        <v>20</v>
      </c>
      <c r="X37" s="55">
        <v>30</v>
      </c>
      <c r="Y37" s="55">
        <v>0</v>
      </c>
      <c r="Z37" s="55">
        <v>0</v>
      </c>
      <c r="AA37" s="55">
        <v>0</v>
      </c>
      <c r="AB37" s="53">
        <v>100</v>
      </c>
      <c r="AC37" s="97" t="s">
        <v>144</v>
      </c>
      <c r="AD37" s="55" t="s">
        <v>190</v>
      </c>
      <c r="AE37" s="55" t="s">
        <v>146</v>
      </c>
      <c r="AF37" s="55" t="s">
        <v>142</v>
      </c>
      <c r="AG37" s="55" t="s">
        <v>142</v>
      </c>
      <c r="AH37" s="55">
        <v>1.5</v>
      </c>
      <c r="AI37" s="55">
        <v>70</v>
      </c>
      <c r="AJ37" s="62">
        <v>105</v>
      </c>
      <c r="AK37" s="63">
        <v>46328</v>
      </c>
      <c r="AL37" s="64">
        <v>2</v>
      </c>
      <c r="AM37" s="65">
        <v>0.77083333333333337</v>
      </c>
      <c r="AN37" s="66">
        <v>0.83333333333333337</v>
      </c>
      <c r="AO37" s="67" t="s">
        <v>1438</v>
      </c>
      <c r="AP37" s="68"/>
      <c r="AQ37" s="64">
        <v>7</v>
      </c>
      <c r="AR37" s="65"/>
      <c r="AS37" s="66"/>
      <c r="AT37" s="126"/>
      <c r="AU37" s="63"/>
      <c r="AV37" s="64">
        <v>7</v>
      </c>
      <c r="AW37" s="65"/>
      <c r="AX37" s="66"/>
      <c r="AY37" s="126"/>
      <c r="AZ37" s="98"/>
      <c r="BA37" s="64">
        <v>7</v>
      </c>
      <c r="BB37" s="65"/>
      <c r="BC37" s="66"/>
      <c r="BD37" s="126"/>
      <c r="BE37" s="63"/>
      <c r="BF37" s="64">
        <v>7</v>
      </c>
      <c r="BG37" s="65"/>
      <c r="BH37" s="66"/>
      <c r="BI37" s="126"/>
      <c r="BJ37" s="98"/>
      <c r="BK37" s="64">
        <v>7</v>
      </c>
      <c r="BL37" s="65"/>
      <c r="BM37" s="66"/>
      <c r="BN37" s="99"/>
      <c r="BO37" s="54"/>
      <c r="BP37" s="69" t="s">
        <v>1439</v>
      </c>
      <c r="BQ37" s="55"/>
      <c r="BR37" s="57"/>
      <c r="BS37" s="54"/>
      <c r="BT37" s="56" t="s">
        <v>1440</v>
      </c>
      <c r="BU37" s="56"/>
      <c r="BV37" s="57"/>
      <c r="BW37" s="60"/>
      <c r="BX37" s="187"/>
      <c r="BY37" s="56"/>
      <c r="BZ37" s="56"/>
      <c r="CA37" s="56"/>
      <c r="CB37" s="72"/>
      <c r="CC37" s="72"/>
      <c r="CD37" s="72"/>
      <c r="CE37" s="60" t="s">
        <v>1441</v>
      </c>
      <c r="CF37" s="72" t="s">
        <v>1442</v>
      </c>
      <c r="CG37" s="56" t="s">
        <v>1443</v>
      </c>
      <c r="CH37" s="57" t="s">
        <v>1123</v>
      </c>
      <c r="CI37" s="52" t="s">
        <v>146</v>
      </c>
      <c r="CJ37" s="52" t="s">
        <v>142</v>
      </c>
      <c r="CK37" s="52" t="s">
        <v>142</v>
      </c>
      <c r="CL37" s="52" t="s">
        <v>142</v>
      </c>
      <c r="CM37" s="52" t="s">
        <v>146</v>
      </c>
      <c r="CN37" s="52" t="s">
        <v>142</v>
      </c>
      <c r="CO37" s="52" t="s">
        <v>142</v>
      </c>
      <c r="CP37" s="52" t="s">
        <v>142</v>
      </c>
      <c r="CQ37" s="52" t="s">
        <v>142</v>
      </c>
      <c r="CR37" s="52" t="s">
        <v>142</v>
      </c>
      <c r="CS37" s="52" t="s">
        <v>142</v>
      </c>
      <c r="CT37" s="52" t="s">
        <v>146</v>
      </c>
      <c r="CU37" s="52" t="s">
        <v>142</v>
      </c>
      <c r="CV37" s="52" t="s">
        <v>142</v>
      </c>
      <c r="CW37" s="52" t="s">
        <v>142</v>
      </c>
      <c r="CX37" s="52" t="s">
        <v>142</v>
      </c>
      <c r="CY37" s="52" t="s">
        <v>142</v>
      </c>
      <c r="CZ37" s="59" t="s">
        <v>142</v>
      </c>
      <c r="DA37" s="74" t="s">
        <v>142</v>
      </c>
      <c r="DB37" s="75" t="s">
        <v>142</v>
      </c>
      <c r="DC37" s="50" t="s">
        <v>156</v>
      </c>
      <c r="DD37" s="50" t="s">
        <v>146</v>
      </c>
      <c r="DE37" s="50" t="s">
        <v>157</v>
      </c>
      <c r="DF37" s="50" t="s">
        <v>146</v>
      </c>
      <c r="DG37" s="73"/>
      <c r="DH37" s="73"/>
      <c r="DI37" s="74"/>
      <c r="DJ37" s="75"/>
      <c r="DK37" s="76" t="s">
        <v>146</v>
      </c>
      <c r="DL37" s="76" t="s">
        <v>146</v>
      </c>
      <c r="DM37" s="76" t="s">
        <v>146</v>
      </c>
      <c r="DN37" s="790"/>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120">
      <c r="A38" s="48">
        <v>36</v>
      </c>
      <c r="B38" s="49">
        <v>202609</v>
      </c>
      <c r="C38" s="50" t="s">
        <v>1433</v>
      </c>
      <c r="D38" s="50" t="s">
        <v>133</v>
      </c>
      <c r="E38" s="51">
        <v>6016</v>
      </c>
      <c r="F38" s="52" t="s">
        <v>134</v>
      </c>
      <c r="G38" s="53" t="s">
        <v>347</v>
      </c>
      <c r="H38" s="97"/>
      <c r="I38" s="775" t="s">
        <v>1434</v>
      </c>
      <c r="J38" s="60"/>
      <c r="K38" s="56" t="s">
        <v>1434</v>
      </c>
      <c r="L38" s="55" t="s">
        <v>1444</v>
      </c>
      <c r="M38" s="56" t="s">
        <v>1436</v>
      </c>
      <c r="N38" s="57" t="s">
        <v>1437</v>
      </c>
      <c r="O38" s="776" t="s">
        <v>142</v>
      </c>
      <c r="P38" s="96" t="s">
        <v>142</v>
      </c>
      <c r="Q38" s="60" t="s">
        <v>1169</v>
      </c>
      <c r="R38" s="77" t="s">
        <v>1292</v>
      </c>
      <c r="S38" s="55">
        <v>0</v>
      </c>
      <c r="T38" s="55">
        <v>0</v>
      </c>
      <c r="U38" s="55">
        <v>0</v>
      </c>
      <c r="V38" s="55">
        <v>50</v>
      </c>
      <c r="W38" s="55">
        <v>20</v>
      </c>
      <c r="X38" s="55">
        <v>30</v>
      </c>
      <c r="Y38" s="55">
        <v>0</v>
      </c>
      <c r="Z38" s="55">
        <v>0</v>
      </c>
      <c r="AA38" s="55">
        <v>0</v>
      </c>
      <c r="AB38" s="53">
        <v>100</v>
      </c>
      <c r="AC38" s="97" t="s">
        <v>144</v>
      </c>
      <c r="AD38" s="55" t="s">
        <v>190</v>
      </c>
      <c r="AE38" s="55" t="s">
        <v>146</v>
      </c>
      <c r="AF38" s="55" t="s">
        <v>142</v>
      </c>
      <c r="AG38" s="55" t="s">
        <v>142</v>
      </c>
      <c r="AH38" s="55">
        <v>1.5</v>
      </c>
      <c r="AI38" s="55">
        <v>70</v>
      </c>
      <c r="AJ38" s="62">
        <v>105</v>
      </c>
      <c r="AK38" s="63">
        <v>46330</v>
      </c>
      <c r="AL38" s="64">
        <v>4</v>
      </c>
      <c r="AM38" s="65">
        <v>0.77083333333333337</v>
      </c>
      <c r="AN38" s="66">
        <v>0.83333333333333337</v>
      </c>
      <c r="AO38" s="67" t="s">
        <v>1438</v>
      </c>
      <c r="AP38" s="68"/>
      <c r="AQ38" s="64">
        <v>7</v>
      </c>
      <c r="AR38" s="65"/>
      <c r="AS38" s="66"/>
      <c r="AT38" s="126"/>
      <c r="AU38" s="63"/>
      <c r="AV38" s="64">
        <v>7</v>
      </c>
      <c r="AW38" s="65"/>
      <c r="AX38" s="66"/>
      <c r="AY38" s="126"/>
      <c r="AZ38" s="98"/>
      <c r="BA38" s="64">
        <v>7</v>
      </c>
      <c r="BB38" s="65"/>
      <c r="BC38" s="66"/>
      <c r="BD38" s="126"/>
      <c r="BE38" s="63"/>
      <c r="BF38" s="64">
        <v>7</v>
      </c>
      <c r="BG38" s="65"/>
      <c r="BH38" s="66"/>
      <c r="BI38" s="126"/>
      <c r="BJ38" s="98"/>
      <c r="BK38" s="64">
        <v>7</v>
      </c>
      <c r="BL38" s="65"/>
      <c r="BM38" s="66"/>
      <c r="BN38" s="99"/>
      <c r="BO38" s="54"/>
      <c r="BP38" s="69" t="s">
        <v>1439</v>
      </c>
      <c r="BQ38" s="55"/>
      <c r="BR38" s="57"/>
      <c r="BS38" s="54"/>
      <c r="BT38" s="56" t="s">
        <v>1440</v>
      </c>
      <c r="BU38" s="56"/>
      <c r="BV38" s="57"/>
      <c r="BW38" s="60"/>
      <c r="BX38" s="187"/>
      <c r="BY38" s="56"/>
      <c r="BZ38" s="56"/>
      <c r="CA38" s="56"/>
      <c r="CB38" s="72"/>
      <c r="CC38" s="72"/>
      <c r="CD38" s="72"/>
      <c r="CE38" s="60" t="s">
        <v>1441</v>
      </c>
      <c r="CF38" s="72" t="s">
        <v>1442</v>
      </c>
      <c r="CG38" s="56" t="s">
        <v>1443</v>
      </c>
      <c r="CH38" s="57" t="s">
        <v>1123</v>
      </c>
      <c r="CI38" s="52" t="s">
        <v>146</v>
      </c>
      <c r="CJ38" s="52" t="s">
        <v>142</v>
      </c>
      <c r="CK38" s="52" t="s">
        <v>142</v>
      </c>
      <c r="CL38" s="52" t="s">
        <v>142</v>
      </c>
      <c r="CM38" s="52" t="s">
        <v>146</v>
      </c>
      <c r="CN38" s="52" t="s">
        <v>142</v>
      </c>
      <c r="CO38" s="52" t="s">
        <v>142</v>
      </c>
      <c r="CP38" s="52" t="s">
        <v>142</v>
      </c>
      <c r="CQ38" s="52" t="s">
        <v>142</v>
      </c>
      <c r="CR38" s="52" t="s">
        <v>142</v>
      </c>
      <c r="CS38" s="52" t="s">
        <v>142</v>
      </c>
      <c r="CT38" s="52" t="s">
        <v>146</v>
      </c>
      <c r="CU38" s="52" t="s">
        <v>142</v>
      </c>
      <c r="CV38" s="52" t="s">
        <v>142</v>
      </c>
      <c r="CW38" s="52" t="s">
        <v>142</v>
      </c>
      <c r="CX38" s="52" t="s">
        <v>142</v>
      </c>
      <c r="CY38" s="52" t="s">
        <v>142</v>
      </c>
      <c r="CZ38" s="59" t="s">
        <v>142</v>
      </c>
      <c r="DA38" s="74" t="s">
        <v>142</v>
      </c>
      <c r="DB38" s="75" t="s">
        <v>142</v>
      </c>
      <c r="DC38" s="50" t="s">
        <v>156</v>
      </c>
      <c r="DD38" s="50" t="s">
        <v>146</v>
      </c>
      <c r="DE38" s="50" t="s">
        <v>157</v>
      </c>
      <c r="DF38" s="50" t="s">
        <v>146</v>
      </c>
      <c r="DG38" s="73"/>
      <c r="DH38" s="73"/>
      <c r="DI38" s="74"/>
      <c r="DJ38" s="75"/>
      <c r="DK38" s="76" t="s">
        <v>146</v>
      </c>
      <c r="DL38" s="76" t="s">
        <v>146</v>
      </c>
      <c r="DM38" s="76" t="s">
        <v>146</v>
      </c>
      <c r="DN38" s="790"/>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165">
      <c r="A39" s="48">
        <v>37</v>
      </c>
      <c r="B39" s="49">
        <v>202609</v>
      </c>
      <c r="C39" s="50" t="s">
        <v>1445</v>
      </c>
      <c r="D39" s="50" t="s">
        <v>133</v>
      </c>
      <c r="E39" s="51">
        <v>6012</v>
      </c>
      <c r="F39" s="52" t="s">
        <v>134</v>
      </c>
      <c r="G39" s="53" t="s">
        <v>347</v>
      </c>
      <c r="H39" s="97"/>
      <c r="I39" s="57" t="s">
        <v>1446</v>
      </c>
      <c r="J39" s="60"/>
      <c r="K39" s="56" t="s">
        <v>1446</v>
      </c>
      <c r="L39" s="55">
        <v>1</v>
      </c>
      <c r="M39" s="56" t="s">
        <v>1447</v>
      </c>
      <c r="N39" s="57" t="s">
        <v>1448</v>
      </c>
      <c r="O39" s="776" t="s">
        <v>142</v>
      </c>
      <c r="P39" s="96" t="s">
        <v>142</v>
      </c>
      <c r="Q39" s="60" t="s">
        <v>1169</v>
      </c>
      <c r="R39" s="61" t="s">
        <v>1292</v>
      </c>
      <c r="S39" s="55">
        <v>0</v>
      </c>
      <c r="T39" s="55">
        <v>0</v>
      </c>
      <c r="U39" s="55">
        <v>0</v>
      </c>
      <c r="V39" s="55">
        <v>60</v>
      </c>
      <c r="W39" s="55">
        <v>20</v>
      </c>
      <c r="X39" s="55">
        <v>20</v>
      </c>
      <c r="Y39" s="55">
        <v>0</v>
      </c>
      <c r="Z39" s="55">
        <v>0</v>
      </c>
      <c r="AA39" s="55">
        <v>0</v>
      </c>
      <c r="AB39" s="53">
        <v>100</v>
      </c>
      <c r="AC39" s="97" t="s">
        <v>199</v>
      </c>
      <c r="AD39" s="55" t="s">
        <v>190</v>
      </c>
      <c r="AE39" s="55" t="s">
        <v>146</v>
      </c>
      <c r="AF39" s="55" t="s">
        <v>142</v>
      </c>
      <c r="AG39" s="55" t="s">
        <v>142</v>
      </c>
      <c r="AH39" s="55">
        <v>1</v>
      </c>
      <c r="AI39" s="55">
        <v>25</v>
      </c>
      <c r="AJ39" s="62">
        <v>25</v>
      </c>
      <c r="AK39" s="63" t="s">
        <v>390</v>
      </c>
      <c r="AL39" s="64" t="e">
        <v>#VALUE!</v>
      </c>
      <c r="AM39" s="65">
        <v>0.77083333333333337</v>
      </c>
      <c r="AN39" s="66">
        <v>0.8125</v>
      </c>
      <c r="AO39" s="67" t="s">
        <v>1449</v>
      </c>
      <c r="AP39" s="68"/>
      <c r="AQ39" s="64">
        <v>7</v>
      </c>
      <c r="AR39" s="65"/>
      <c r="AS39" s="66"/>
      <c r="AT39" s="126"/>
      <c r="AU39" s="63"/>
      <c r="AV39" s="64">
        <v>7</v>
      </c>
      <c r="AW39" s="65"/>
      <c r="AX39" s="66"/>
      <c r="AY39" s="126"/>
      <c r="AZ39" s="98"/>
      <c r="BA39" s="64">
        <v>7</v>
      </c>
      <c r="BB39" s="65"/>
      <c r="BC39" s="66"/>
      <c r="BD39" s="126"/>
      <c r="BE39" s="63"/>
      <c r="BF39" s="64">
        <v>7</v>
      </c>
      <c r="BG39" s="65"/>
      <c r="BH39" s="66"/>
      <c r="BI39" s="126"/>
      <c r="BJ39" s="98"/>
      <c r="BK39" s="64">
        <v>7</v>
      </c>
      <c r="BL39" s="65"/>
      <c r="BM39" s="66"/>
      <c r="BN39" s="99"/>
      <c r="BO39" s="54" t="s">
        <v>163</v>
      </c>
      <c r="BP39" s="69" t="s">
        <v>1450</v>
      </c>
      <c r="BQ39" s="55" t="s">
        <v>1451</v>
      </c>
      <c r="BR39" s="57" t="s">
        <v>1452</v>
      </c>
      <c r="BS39" s="54"/>
      <c r="BT39" s="56" t="s">
        <v>1453</v>
      </c>
      <c r="BU39" s="56"/>
      <c r="BV39" s="57"/>
      <c r="BW39" s="60"/>
      <c r="BX39" s="187"/>
      <c r="BY39" s="56" t="s">
        <v>184</v>
      </c>
      <c r="BZ39" s="56"/>
      <c r="CA39" s="56" t="s">
        <v>184</v>
      </c>
      <c r="CB39" s="72"/>
      <c r="CC39" s="72"/>
      <c r="CD39" s="72"/>
      <c r="CE39" s="60" t="s">
        <v>354</v>
      </c>
      <c r="CF39" s="72" t="s">
        <v>355</v>
      </c>
      <c r="CG39" s="56" t="s">
        <v>356</v>
      </c>
      <c r="CH39" s="57" t="s">
        <v>357</v>
      </c>
      <c r="CI39" s="52" t="s">
        <v>146</v>
      </c>
      <c r="CJ39" s="52" t="s">
        <v>142</v>
      </c>
      <c r="CK39" s="52" t="s">
        <v>142</v>
      </c>
      <c r="CL39" s="52" t="s">
        <v>142</v>
      </c>
      <c r="CM39" s="52" t="s">
        <v>142</v>
      </c>
      <c r="CN39" s="52" t="s">
        <v>142</v>
      </c>
      <c r="CO39" s="52" t="s">
        <v>142</v>
      </c>
      <c r="CP39" s="52" t="s">
        <v>142</v>
      </c>
      <c r="CQ39" s="52" t="s">
        <v>142</v>
      </c>
      <c r="CR39" s="52" t="s">
        <v>142</v>
      </c>
      <c r="CS39" s="52" t="s">
        <v>142</v>
      </c>
      <c r="CT39" s="52" t="s">
        <v>146</v>
      </c>
      <c r="CU39" s="52" t="s">
        <v>142</v>
      </c>
      <c r="CV39" s="52" t="s">
        <v>142</v>
      </c>
      <c r="CW39" s="52" t="s">
        <v>142</v>
      </c>
      <c r="CX39" s="52" t="s">
        <v>142</v>
      </c>
      <c r="CY39" s="52" t="s">
        <v>142</v>
      </c>
      <c r="CZ39" s="59" t="s">
        <v>142</v>
      </c>
      <c r="DA39" s="74" t="s">
        <v>142</v>
      </c>
      <c r="DB39" s="75" t="s">
        <v>142</v>
      </c>
      <c r="DC39" s="50" t="s">
        <v>156</v>
      </c>
      <c r="DD39" s="50" t="s">
        <v>146</v>
      </c>
      <c r="DE39" s="50" t="s">
        <v>157</v>
      </c>
      <c r="DF39" s="50" t="s">
        <v>146</v>
      </c>
      <c r="DG39" s="73"/>
      <c r="DH39" s="73"/>
      <c r="DI39" s="74"/>
      <c r="DJ39" s="75"/>
      <c r="DK39" s="76" t="s">
        <v>146</v>
      </c>
      <c r="DL39" s="76" t="s">
        <v>146</v>
      </c>
      <c r="DM39" s="76" t="s">
        <v>146</v>
      </c>
      <c r="DN39" s="790"/>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165">
      <c r="A40" s="48">
        <v>38</v>
      </c>
      <c r="B40" s="49">
        <v>202609</v>
      </c>
      <c r="C40" s="50" t="s">
        <v>1445</v>
      </c>
      <c r="D40" s="50" t="s">
        <v>133</v>
      </c>
      <c r="E40" s="51">
        <v>6013</v>
      </c>
      <c r="F40" s="52" t="s">
        <v>134</v>
      </c>
      <c r="G40" s="53" t="s">
        <v>347</v>
      </c>
      <c r="H40" s="97"/>
      <c r="I40" s="57" t="s">
        <v>1446</v>
      </c>
      <c r="J40" s="60"/>
      <c r="K40" s="56" t="s">
        <v>1446</v>
      </c>
      <c r="L40" s="55">
        <v>2</v>
      </c>
      <c r="M40" s="56" t="s">
        <v>1447</v>
      </c>
      <c r="N40" s="57" t="s">
        <v>1448</v>
      </c>
      <c r="O40" s="776" t="s">
        <v>142</v>
      </c>
      <c r="P40" s="96" t="s">
        <v>142</v>
      </c>
      <c r="Q40" s="60" t="s">
        <v>1169</v>
      </c>
      <c r="R40" s="77" t="s">
        <v>1292</v>
      </c>
      <c r="S40" s="55">
        <v>0</v>
      </c>
      <c r="T40" s="55">
        <v>0</v>
      </c>
      <c r="U40" s="55">
        <v>0</v>
      </c>
      <c r="V40" s="55">
        <v>60</v>
      </c>
      <c r="W40" s="55">
        <v>20</v>
      </c>
      <c r="X40" s="55">
        <v>20</v>
      </c>
      <c r="Y40" s="55">
        <v>0</v>
      </c>
      <c r="Z40" s="55">
        <v>0</v>
      </c>
      <c r="AA40" s="55">
        <v>0</v>
      </c>
      <c r="AB40" s="53">
        <v>100</v>
      </c>
      <c r="AC40" s="97" t="s">
        <v>199</v>
      </c>
      <c r="AD40" s="55" t="s">
        <v>190</v>
      </c>
      <c r="AE40" s="55" t="s">
        <v>146</v>
      </c>
      <c r="AF40" s="55" t="s">
        <v>142</v>
      </c>
      <c r="AG40" s="55" t="s">
        <v>142</v>
      </c>
      <c r="AH40" s="55">
        <v>1</v>
      </c>
      <c r="AI40" s="55">
        <v>25</v>
      </c>
      <c r="AJ40" s="62">
        <v>25</v>
      </c>
      <c r="AK40" s="63" t="s">
        <v>390</v>
      </c>
      <c r="AL40" s="64" t="e">
        <v>#VALUE!</v>
      </c>
      <c r="AM40" s="65">
        <v>0.77083333333333337</v>
      </c>
      <c r="AN40" s="66">
        <v>0.8125</v>
      </c>
      <c r="AO40" s="67" t="s">
        <v>1449</v>
      </c>
      <c r="AP40" s="68"/>
      <c r="AQ40" s="64">
        <v>7</v>
      </c>
      <c r="AR40" s="65"/>
      <c r="AS40" s="66"/>
      <c r="AT40" s="126"/>
      <c r="AU40" s="63"/>
      <c r="AV40" s="64">
        <v>7</v>
      </c>
      <c r="AW40" s="65"/>
      <c r="AX40" s="66"/>
      <c r="AY40" s="126"/>
      <c r="AZ40" s="98"/>
      <c r="BA40" s="64">
        <v>7</v>
      </c>
      <c r="BB40" s="65"/>
      <c r="BC40" s="66"/>
      <c r="BD40" s="126"/>
      <c r="BE40" s="63"/>
      <c r="BF40" s="64">
        <v>7</v>
      </c>
      <c r="BG40" s="65"/>
      <c r="BH40" s="66"/>
      <c r="BI40" s="126"/>
      <c r="BJ40" s="98"/>
      <c r="BK40" s="64">
        <v>7</v>
      </c>
      <c r="BL40" s="65"/>
      <c r="BM40" s="66"/>
      <c r="BN40" s="99"/>
      <c r="BO40" s="54" t="s">
        <v>163</v>
      </c>
      <c r="BP40" s="69" t="s">
        <v>1450</v>
      </c>
      <c r="BQ40" s="55" t="s">
        <v>1451</v>
      </c>
      <c r="BR40" s="57" t="s">
        <v>1452</v>
      </c>
      <c r="BS40" s="54"/>
      <c r="BT40" s="56" t="s">
        <v>1453</v>
      </c>
      <c r="BU40" s="56"/>
      <c r="BV40" s="57"/>
      <c r="BW40" s="60"/>
      <c r="BX40" s="187"/>
      <c r="BY40" s="56" t="s">
        <v>149</v>
      </c>
      <c r="BZ40" s="56"/>
      <c r="CA40" s="56" t="s">
        <v>149</v>
      </c>
      <c r="CB40" s="72"/>
      <c r="CC40" s="72"/>
      <c r="CD40" s="72"/>
      <c r="CE40" s="60" t="s">
        <v>354</v>
      </c>
      <c r="CF40" s="72" t="s">
        <v>355</v>
      </c>
      <c r="CG40" s="56" t="s">
        <v>356</v>
      </c>
      <c r="CH40" s="57" t="s">
        <v>357</v>
      </c>
      <c r="CI40" s="52" t="s">
        <v>146</v>
      </c>
      <c r="CJ40" s="52" t="s">
        <v>142</v>
      </c>
      <c r="CK40" s="52" t="s">
        <v>142</v>
      </c>
      <c r="CL40" s="52" t="s">
        <v>142</v>
      </c>
      <c r="CM40" s="52" t="s">
        <v>142</v>
      </c>
      <c r="CN40" s="52" t="s">
        <v>142</v>
      </c>
      <c r="CO40" s="52" t="s">
        <v>142</v>
      </c>
      <c r="CP40" s="52" t="s">
        <v>142</v>
      </c>
      <c r="CQ40" s="52" t="s">
        <v>142</v>
      </c>
      <c r="CR40" s="52" t="s">
        <v>142</v>
      </c>
      <c r="CS40" s="52" t="s">
        <v>142</v>
      </c>
      <c r="CT40" s="52" t="s">
        <v>146</v>
      </c>
      <c r="CU40" s="52" t="s">
        <v>142</v>
      </c>
      <c r="CV40" s="52" t="s">
        <v>142</v>
      </c>
      <c r="CW40" s="52" t="s">
        <v>142</v>
      </c>
      <c r="CX40" s="52" t="s">
        <v>142</v>
      </c>
      <c r="CY40" s="52" t="s">
        <v>142</v>
      </c>
      <c r="CZ40" s="59" t="s">
        <v>142</v>
      </c>
      <c r="DA40" s="74" t="s">
        <v>142</v>
      </c>
      <c r="DB40" s="75" t="s">
        <v>142</v>
      </c>
      <c r="DC40" s="50" t="s">
        <v>156</v>
      </c>
      <c r="DD40" s="50" t="s">
        <v>146</v>
      </c>
      <c r="DE40" s="50" t="s">
        <v>157</v>
      </c>
      <c r="DF40" s="50" t="s">
        <v>146</v>
      </c>
      <c r="DG40" s="73"/>
      <c r="DH40" s="73"/>
      <c r="DI40" s="74"/>
      <c r="DJ40" s="75"/>
      <c r="DK40" s="76" t="s">
        <v>146</v>
      </c>
      <c r="DL40" s="76" t="s">
        <v>146</v>
      </c>
      <c r="DM40" s="76" t="s">
        <v>146</v>
      </c>
      <c r="DN40" s="790"/>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60">
      <c r="A41" s="48">
        <v>39</v>
      </c>
      <c r="B41" s="49"/>
      <c r="C41" s="50"/>
      <c r="D41" s="50"/>
      <c r="E41" s="51"/>
      <c r="F41" s="52"/>
      <c r="G41" s="53"/>
      <c r="H41" s="97"/>
      <c r="I41" s="57"/>
      <c r="J41" s="141"/>
      <c r="K41" s="56"/>
      <c r="L41" s="55"/>
      <c r="M41" s="56" t="s">
        <v>424</v>
      </c>
      <c r="N41" s="57"/>
      <c r="O41" s="114"/>
      <c r="P41" s="96"/>
      <c r="Q41" s="60"/>
      <c r="R41" s="77" t="e">
        <f>VLOOKUP(Sheet_1_Table_1_138[[#This Row],[Learning Domain]],[10]List!$A$7:$B$12,2,0)</f>
        <v>#N/A</v>
      </c>
      <c r="S41" s="55">
        <v>0</v>
      </c>
      <c r="T41" s="55">
        <v>0</v>
      </c>
      <c r="U41" s="55">
        <v>0</v>
      </c>
      <c r="V41" s="55">
        <v>0</v>
      </c>
      <c r="W41" s="55">
        <v>0</v>
      </c>
      <c r="X41" s="55">
        <v>0</v>
      </c>
      <c r="Y41" s="55">
        <v>0</v>
      </c>
      <c r="Z41" s="55">
        <v>0</v>
      </c>
      <c r="AA41" s="55">
        <v>0</v>
      </c>
      <c r="AB41" s="53">
        <f>SUM(Sheet_1_Table_1_138[[#This Row],[Leadership LS]:[Career Development  CR]])</f>
        <v>0</v>
      </c>
      <c r="AC41" s="97"/>
      <c r="AD41" s="55"/>
      <c r="AE41" s="55" t="s">
        <v>142</v>
      </c>
      <c r="AF41" s="55" t="s">
        <v>142</v>
      </c>
      <c r="AG41" s="55" t="s">
        <v>142</v>
      </c>
      <c r="AH41" s="55"/>
      <c r="AI41" s="55"/>
      <c r="AJ41" s="62">
        <f>Sheet_1_Table_1_138[[#This Row],[ILP Units Per Session]]*Sheet_1_Table_1_138[[#This Row],[Quota]]</f>
        <v>0</v>
      </c>
      <c r="AK41" s="63"/>
      <c r="AL41" s="64">
        <f>WEEKDAY(Sheet_1_Table_1_138[[#This Row],[Lesson 1 
Date 
(DD-MMM-YYYY)]])</f>
        <v>7</v>
      </c>
      <c r="AM41" s="65"/>
      <c r="AN41" s="66"/>
      <c r="AO41" s="67"/>
      <c r="AP41" s="68"/>
      <c r="AQ41" s="64">
        <f>WEEKDAY(Sheet_1_Table_1_138[[#This Row],[Lesson 2
Date 
(DD-MMM-YYYY)]])</f>
        <v>7</v>
      </c>
      <c r="AR41" s="65"/>
      <c r="AS41" s="66"/>
      <c r="AT41" s="126"/>
      <c r="AU41" s="63"/>
      <c r="AV41" s="64">
        <f>WEEKDAY(Sheet_1_Table_1_138[[#This Row],[Lesson 3
Date 
(DD-MMM-YYYY)]])</f>
        <v>7</v>
      </c>
      <c r="AW41" s="65"/>
      <c r="AX41" s="66"/>
      <c r="AY41" s="126"/>
      <c r="AZ41" s="98"/>
      <c r="BA41" s="64">
        <f>WEEKDAY(Sheet_1_Table_1_138[[#This Row],[Lesson 4
Date 
(DD-MMM-YYYY)]])</f>
        <v>7</v>
      </c>
      <c r="BB41" s="65"/>
      <c r="BC41" s="66"/>
      <c r="BD41" s="126"/>
      <c r="BE41" s="63"/>
      <c r="BF41" s="64">
        <f>WEEKDAY(Sheet_1_Table_1_138[[#This Row],[Lesson 5
Date 
(DD-MMM-YYYY)]])</f>
        <v>7</v>
      </c>
      <c r="BG41" s="65"/>
      <c r="BH41" s="66"/>
      <c r="BI41" s="126"/>
      <c r="BJ41" s="98"/>
      <c r="BK41" s="64">
        <f>WEEKDAY(Sheet_1_Table_1_138[[#This Row],[Lesson 6
Date 
(DD-MMM-YYYY)]])</f>
        <v>7</v>
      </c>
      <c r="BL41" s="65"/>
      <c r="BM41" s="66"/>
      <c r="BN41" s="99"/>
      <c r="BO41" s="54"/>
      <c r="BP41" s="69"/>
      <c r="BQ41" s="55"/>
      <c r="BR41" s="57"/>
      <c r="BS41" s="54"/>
      <c r="BT41" s="56"/>
      <c r="BU41" s="56"/>
      <c r="BV41" s="57"/>
      <c r="BW41" s="60"/>
      <c r="BX41" s="187"/>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N41" s="790"/>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60">
      <c r="A42" s="48">
        <v>40</v>
      </c>
      <c r="B42" s="49"/>
      <c r="C42" s="50"/>
      <c r="D42" s="50"/>
      <c r="E42" s="51"/>
      <c r="F42" s="52"/>
      <c r="G42" s="53"/>
      <c r="H42" s="97"/>
      <c r="I42" s="57"/>
      <c r="J42" s="141"/>
      <c r="K42" s="56"/>
      <c r="L42" s="55"/>
      <c r="M42" s="56" t="s">
        <v>424</v>
      </c>
      <c r="N42" s="57"/>
      <c r="O42" s="114"/>
      <c r="P42" s="96"/>
      <c r="Q42" s="60"/>
      <c r="R42" s="61" t="e">
        <f>VLOOKUP(Sheet_1_Table_1_138[[#This Row],[Learning Domain]],[10]List!$A$7:$B$12,2,0)</f>
        <v>#N/A</v>
      </c>
      <c r="S42" s="55">
        <v>0</v>
      </c>
      <c r="T42" s="55">
        <v>0</v>
      </c>
      <c r="U42" s="55">
        <v>0</v>
      </c>
      <c r="V42" s="55">
        <v>0</v>
      </c>
      <c r="W42" s="55">
        <v>0</v>
      </c>
      <c r="X42" s="55">
        <v>0</v>
      </c>
      <c r="Y42" s="55">
        <v>0</v>
      </c>
      <c r="Z42" s="55">
        <v>0</v>
      </c>
      <c r="AA42" s="55">
        <v>0</v>
      </c>
      <c r="AB42" s="53">
        <f>SUM(Sheet_1_Table_1_138[[#This Row],[Leadership LS]:[Career Development  CR]])</f>
        <v>0</v>
      </c>
      <c r="AC42" s="97"/>
      <c r="AD42" s="55"/>
      <c r="AE42" s="55" t="s">
        <v>142</v>
      </c>
      <c r="AF42" s="55" t="s">
        <v>142</v>
      </c>
      <c r="AG42" s="55" t="s">
        <v>142</v>
      </c>
      <c r="AH42" s="55"/>
      <c r="AI42" s="55"/>
      <c r="AJ42" s="62">
        <f>Sheet_1_Table_1_138[[#This Row],[ILP Units Per Session]]*Sheet_1_Table_1_138[[#This Row],[Quota]]</f>
        <v>0</v>
      </c>
      <c r="AK42" s="63"/>
      <c r="AL42" s="64">
        <f>WEEKDAY(Sheet_1_Table_1_138[[#This Row],[Lesson 1 
Date 
(DD-MMM-YYYY)]])</f>
        <v>7</v>
      </c>
      <c r="AM42" s="65"/>
      <c r="AN42" s="66"/>
      <c r="AO42" s="67"/>
      <c r="AP42" s="68"/>
      <c r="AQ42" s="64">
        <f>WEEKDAY(Sheet_1_Table_1_138[[#This Row],[Lesson 2
Date 
(DD-MMM-YYYY)]])</f>
        <v>7</v>
      </c>
      <c r="AR42" s="65"/>
      <c r="AS42" s="66"/>
      <c r="AT42" s="126"/>
      <c r="AU42" s="63"/>
      <c r="AV42" s="64">
        <f>WEEKDAY(Sheet_1_Table_1_138[[#This Row],[Lesson 3
Date 
(DD-MMM-YYYY)]])</f>
        <v>7</v>
      </c>
      <c r="AW42" s="65"/>
      <c r="AX42" s="66"/>
      <c r="AY42" s="126"/>
      <c r="AZ42" s="98"/>
      <c r="BA42" s="64">
        <f>WEEKDAY(Sheet_1_Table_1_138[[#This Row],[Lesson 4
Date 
(DD-MMM-YYYY)]])</f>
        <v>7</v>
      </c>
      <c r="BB42" s="65"/>
      <c r="BC42" s="66"/>
      <c r="BD42" s="126"/>
      <c r="BE42" s="63"/>
      <c r="BF42" s="64">
        <f>WEEKDAY(Sheet_1_Table_1_138[[#This Row],[Lesson 5
Date 
(DD-MMM-YYYY)]])</f>
        <v>7</v>
      </c>
      <c r="BG42" s="65"/>
      <c r="BH42" s="66"/>
      <c r="BI42" s="126"/>
      <c r="BJ42" s="98"/>
      <c r="BK42" s="64">
        <f>WEEKDAY(Sheet_1_Table_1_138[[#This Row],[Lesson 6
Date 
(DD-MMM-YYYY)]])</f>
        <v>7</v>
      </c>
      <c r="BL42" s="65"/>
      <c r="BM42" s="66"/>
      <c r="BN42" s="99"/>
      <c r="BO42" s="54"/>
      <c r="BP42" s="69"/>
      <c r="BQ42" s="55"/>
      <c r="BR42" s="57"/>
      <c r="BS42" s="54"/>
      <c r="BT42" s="56"/>
      <c r="BU42" s="56"/>
      <c r="BV42" s="57"/>
      <c r="BW42" s="60"/>
      <c r="BX42" s="187"/>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N42" s="790"/>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60">
      <c r="A43" s="48">
        <v>41</v>
      </c>
      <c r="B43" s="49"/>
      <c r="C43" s="50"/>
      <c r="D43" s="50"/>
      <c r="E43" s="51"/>
      <c r="F43" s="54"/>
      <c r="G43" s="53"/>
      <c r="H43" s="97"/>
      <c r="I43" s="57"/>
      <c r="J43" s="141"/>
      <c r="K43" s="56"/>
      <c r="L43" s="55"/>
      <c r="M43" s="56" t="s">
        <v>424</v>
      </c>
      <c r="N43" s="57"/>
      <c r="O43" s="114"/>
      <c r="P43" s="96"/>
      <c r="Q43" s="60"/>
      <c r="R43" s="61" t="e">
        <f>VLOOKUP(Sheet_1_Table_1_138[[#This Row],[Learning Domain]],[10]List!$A$7:$B$12,2,0)</f>
        <v>#N/A</v>
      </c>
      <c r="S43" s="55">
        <v>0</v>
      </c>
      <c r="T43" s="55">
        <v>0</v>
      </c>
      <c r="U43" s="55">
        <v>0</v>
      </c>
      <c r="V43" s="55">
        <v>0</v>
      </c>
      <c r="W43" s="55">
        <v>0</v>
      </c>
      <c r="X43" s="55">
        <v>0</v>
      </c>
      <c r="Y43" s="55">
        <v>0</v>
      </c>
      <c r="Z43" s="55">
        <v>0</v>
      </c>
      <c r="AA43" s="55">
        <v>0</v>
      </c>
      <c r="AB43" s="53">
        <f>SUM(Sheet_1_Table_1_138[[#This Row],[Leadership LS]:[Career Development  CR]])</f>
        <v>0</v>
      </c>
      <c r="AC43" s="97"/>
      <c r="AD43" s="55"/>
      <c r="AE43" s="55" t="s">
        <v>142</v>
      </c>
      <c r="AF43" s="55" t="s">
        <v>142</v>
      </c>
      <c r="AG43" s="55" t="s">
        <v>142</v>
      </c>
      <c r="AH43" s="55"/>
      <c r="AI43" s="55"/>
      <c r="AJ43" s="62">
        <f>Sheet_1_Table_1_138[[#This Row],[ILP Units Per Session]]*Sheet_1_Table_1_138[[#This Row],[Quota]]</f>
        <v>0</v>
      </c>
      <c r="AK43" s="63"/>
      <c r="AL43" s="64">
        <f>WEEKDAY(Sheet_1_Table_1_138[[#This Row],[Lesson 1 
Date 
(DD-MMM-YYYY)]])</f>
        <v>7</v>
      </c>
      <c r="AM43" s="65"/>
      <c r="AN43" s="66"/>
      <c r="AO43" s="67"/>
      <c r="AP43" s="68"/>
      <c r="AQ43" s="64">
        <f>WEEKDAY(Sheet_1_Table_1_138[[#This Row],[Lesson 2
Date 
(DD-MMM-YYYY)]])</f>
        <v>7</v>
      </c>
      <c r="AR43" s="65"/>
      <c r="AS43" s="66"/>
      <c r="AT43" s="126"/>
      <c r="AU43" s="63"/>
      <c r="AV43" s="64">
        <f>WEEKDAY(Sheet_1_Table_1_138[[#This Row],[Lesson 3
Date 
(DD-MMM-YYYY)]])</f>
        <v>7</v>
      </c>
      <c r="AW43" s="65"/>
      <c r="AX43" s="66"/>
      <c r="AY43" s="126"/>
      <c r="AZ43" s="98"/>
      <c r="BA43" s="64">
        <f>WEEKDAY(Sheet_1_Table_1_138[[#This Row],[Lesson 4
Date 
(DD-MMM-YYYY)]])</f>
        <v>7</v>
      </c>
      <c r="BB43" s="65"/>
      <c r="BC43" s="66"/>
      <c r="BD43" s="126"/>
      <c r="BE43" s="63"/>
      <c r="BF43" s="64">
        <f>WEEKDAY(Sheet_1_Table_1_138[[#This Row],[Lesson 5
Date 
(DD-MMM-YYYY)]])</f>
        <v>7</v>
      </c>
      <c r="BG43" s="65"/>
      <c r="BH43" s="66"/>
      <c r="BI43" s="126"/>
      <c r="BJ43" s="98"/>
      <c r="BK43" s="64">
        <f>WEEKDAY(Sheet_1_Table_1_138[[#This Row],[Lesson 6
Date 
(DD-MMM-YYYY)]])</f>
        <v>7</v>
      </c>
      <c r="BL43" s="65"/>
      <c r="BM43" s="66"/>
      <c r="BN43" s="99"/>
      <c r="BO43" s="54"/>
      <c r="BP43" s="69"/>
      <c r="BQ43" s="55"/>
      <c r="BR43" s="57"/>
      <c r="BS43" s="54"/>
      <c r="BT43" s="56"/>
      <c r="BU43" s="56"/>
      <c r="BV43" s="57"/>
      <c r="BW43" s="60"/>
      <c r="BX43" s="187"/>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N43" s="790"/>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60">
      <c r="A44" s="48">
        <v>42</v>
      </c>
      <c r="B44" s="49"/>
      <c r="C44" s="50"/>
      <c r="D44" s="50"/>
      <c r="E44" s="51"/>
      <c r="F44" s="54"/>
      <c r="G44" s="53"/>
      <c r="H44" s="97"/>
      <c r="I44" s="57"/>
      <c r="J44" s="141"/>
      <c r="K44" s="56"/>
      <c r="L44" s="55"/>
      <c r="M44" s="56" t="s">
        <v>424</v>
      </c>
      <c r="N44" s="57"/>
      <c r="O44" s="114"/>
      <c r="P44" s="96"/>
      <c r="Q44" s="60"/>
      <c r="R44" s="77" t="e">
        <f>VLOOKUP(Sheet_1_Table_1_138[[#This Row],[Learning Domain]],[10]List!$A$7:$B$12,2,0)</f>
        <v>#N/A</v>
      </c>
      <c r="S44" s="55">
        <v>0</v>
      </c>
      <c r="T44" s="55">
        <v>0</v>
      </c>
      <c r="U44" s="55">
        <v>0</v>
      </c>
      <c r="V44" s="55">
        <v>0</v>
      </c>
      <c r="W44" s="55">
        <v>0</v>
      </c>
      <c r="X44" s="55">
        <v>0</v>
      </c>
      <c r="Y44" s="55">
        <v>0</v>
      </c>
      <c r="Z44" s="55">
        <v>0</v>
      </c>
      <c r="AA44" s="55">
        <v>0</v>
      </c>
      <c r="AB44" s="53">
        <f>SUM(Sheet_1_Table_1_138[[#This Row],[Leadership LS]:[Career Development  CR]])</f>
        <v>0</v>
      </c>
      <c r="AC44" s="97"/>
      <c r="AD44" s="55"/>
      <c r="AE44" s="55" t="s">
        <v>142</v>
      </c>
      <c r="AF44" s="55" t="s">
        <v>142</v>
      </c>
      <c r="AG44" s="55" t="s">
        <v>142</v>
      </c>
      <c r="AH44" s="55"/>
      <c r="AI44" s="55"/>
      <c r="AJ44" s="62">
        <f>Sheet_1_Table_1_138[[#This Row],[ILP Units Per Session]]*Sheet_1_Table_1_138[[#This Row],[Quota]]</f>
        <v>0</v>
      </c>
      <c r="AK44" s="63"/>
      <c r="AL44" s="165">
        <f>WEEKDAY(Sheet_1_Table_1_138[[#This Row],[Lesson 1 
Date 
(DD-MMM-YYYY)]])</f>
        <v>7</v>
      </c>
      <c r="AM44" s="65"/>
      <c r="AN44" s="66"/>
      <c r="AO44" s="67"/>
      <c r="AP44" s="68"/>
      <c r="AQ44" s="64">
        <f>WEEKDAY(Sheet_1_Table_1_138[[#This Row],[Lesson 2
Date 
(DD-MMM-YYYY)]])</f>
        <v>7</v>
      </c>
      <c r="AR44" s="65"/>
      <c r="AS44" s="66"/>
      <c r="AT44" s="126"/>
      <c r="AU44" s="63"/>
      <c r="AV44" s="64">
        <f>WEEKDAY(Sheet_1_Table_1_138[[#This Row],[Lesson 3
Date 
(DD-MMM-YYYY)]])</f>
        <v>7</v>
      </c>
      <c r="AW44" s="65"/>
      <c r="AX44" s="66"/>
      <c r="AY44" s="126"/>
      <c r="AZ44" s="98"/>
      <c r="BA44" s="64">
        <f>WEEKDAY(Sheet_1_Table_1_138[[#This Row],[Lesson 4
Date 
(DD-MMM-YYYY)]])</f>
        <v>7</v>
      </c>
      <c r="BB44" s="65"/>
      <c r="BC44" s="66"/>
      <c r="BD44" s="126"/>
      <c r="BE44" s="63"/>
      <c r="BF44" s="64">
        <f>WEEKDAY(Sheet_1_Table_1_138[[#This Row],[Lesson 5
Date 
(DD-MMM-YYYY)]])</f>
        <v>7</v>
      </c>
      <c r="BG44" s="65"/>
      <c r="BH44" s="66"/>
      <c r="BI44" s="126"/>
      <c r="BJ44" s="98"/>
      <c r="BK44" s="64">
        <f>WEEKDAY(Sheet_1_Table_1_138[[#This Row],[Lesson 6
Date 
(DD-MMM-YYYY)]])</f>
        <v>7</v>
      </c>
      <c r="BL44" s="65"/>
      <c r="BM44" s="66"/>
      <c r="BN44" s="99"/>
      <c r="BO44" s="54"/>
      <c r="BP44" s="69"/>
      <c r="BQ44" s="55"/>
      <c r="BR44" s="57"/>
      <c r="BS44" s="54"/>
      <c r="BT44" s="56"/>
      <c r="BU44" s="56"/>
      <c r="BV44" s="57"/>
      <c r="BW44" s="60"/>
      <c r="BX44" s="187"/>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N44" s="790"/>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60">
      <c r="A45" s="48">
        <v>43</v>
      </c>
      <c r="B45" s="49"/>
      <c r="C45" s="50"/>
      <c r="D45" s="50"/>
      <c r="E45" s="51"/>
      <c r="F45" s="54"/>
      <c r="G45" s="53"/>
      <c r="H45" s="97"/>
      <c r="I45" s="57"/>
      <c r="J45" s="141"/>
      <c r="K45" s="56"/>
      <c r="L45" s="55"/>
      <c r="M45" s="56" t="s">
        <v>424</v>
      </c>
      <c r="N45" s="57"/>
      <c r="O45" s="114"/>
      <c r="P45" s="96"/>
      <c r="Q45" s="60"/>
      <c r="R45" s="61" t="e">
        <f>VLOOKUP(Sheet_1_Table_1_138[[#This Row],[Learning Domain]],[10]List!$A$7:$B$12,2,0)</f>
        <v>#N/A</v>
      </c>
      <c r="S45" s="55">
        <v>0</v>
      </c>
      <c r="T45" s="55">
        <v>0</v>
      </c>
      <c r="U45" s="55">
        <v>0</v>
      </c>
      <c r="V45" s="55">
        <v>0</v>
      </c>
      <c r="W45" s="55">
        <v>0</v>
      </c>
      <c r="X45" s="55">
        <v>0</v>
      </c>
      <c r="Y45" s="55">
        <v>0</v>
      </c>
      <c r="Z45" s="55">
        <v>0</v>
      </c>
      <c r="AA45" s="55">
        <v>0</v>
      </c>
      <c r="AB45" s="53">
        <f>SUM(Sheet_1_Table_1_138[[#This Row],[Leadership LS]:[Career Development  CR]])</f>
        <v>0</v>
      </c>
      <c r="AC45" s="97"/>
      <c r="AD45" s="55"/>
      <c r="AE45" s="55" t="s">
        <v>142</v>
      </c>
      <c r="AF45" s="55" t="s">
        <v>142</v>
      </c>
      <c r="AG45" s="55" t="s">
        <v>142</v>
      </c>
      <c r="AH45" s="55"/>
      <c r="AI45" s="55"/>
      <c r="AJ45" s="62">
        <f>Sheet_1_Table_1_138[[#This Row],[ILP Units Per Session]]*Sheet_1_Table_1_138[[#This Row],[Quota]]</f>
        <v>0</v>
      </c>
      <c r="AK45" s="63"/>
      <c r="AL45" s="64">
        <f>WEEKDAY(Sheet_1_Table_1_138[[#This Row],[Lesson 1 
Date 
(DD-MMM-YYYY)]])</f>
        <v>7</v>
      </c>
      <c r="AM45" s="65"/>
      <c r="AN45" s="66"/>
      <c r="AO45" s="67"/>
      <c r="AP45" s="68"/>
      <c r="AQ45" s="64">
        <f>WEEKDAY(Sheet_1_Table_1_138[[#This Row],[Lesson 2
Date 
(DD-MMM-YYYY)]])</f>
        <v>7</v>
      </c>
      <c r="AR45" s="65"/>
      <c r="AS45" s="66"/>
      <c r="AT45" s="126"/>
      <c r="AU45" s="63"/>
      <c r="AV45" s="64">
        <f>WEEKDAY(Sheet_1_Table_1_138[[#This Row],[Lesson 3
Date 
(DD-MMM-YYYY)]])</f>
        <v>7</v>
      </c>
      <c r="AW45" s="65"/>
      <c r="AX45" s="66"/>
      <c r="AY45" s="126"/>
      <c r="AZ45" s="98"/>
      <c r="BA45" s="64">
        <f>WEEKDAY(Sheet_1_Table_1_138[[#This Row],[Lesson 4
Date 
(DD-MMM-YYYY)]])</f>
        <v>7</v>
      </c>
      <c r="BB45" s="65"/>
      <c r="BC45" s="66"/>
      <c r="BD45" s="126"/>
      <c r="BE45" s="63"/>
      <c r="BF45" s="64">
        <f>WEEKDAY(Sheet_1_Table_1_138[[#This Row],[Lesson 5
Date 
(DD-MMM-YYYY)]])</f>
        <v>7</v>
      </c>
      <c r="BG45" s="65"/>
      <c r="BH45" s="66"/>
      <c r="BI45" s="126"/>
      <c r="BJ45" s="98"/>
      <c r="BK45" s="64">
        <f>WEEKDAY(Sheet_1_Table_1_138[[#This Row],[Lesson 6
Date 
(DD-MMM-YYYY)]])</f>
        <v>7</v>
      </c>
      <c r="BL45" s="65"/>
      <c r="BM45" s="66"/>
      <c r="BN45" s="99"/>
      <c r="BO45" s="54"/>
      <c r="BP45" s="69"/>
      <c r="BQ45" s="55"/>
      <c r="BR45" s="57"/>
      <c r="BS45" s="54"/>
      <c r="BT45" s="56"/>
      <c r="BU45" s="56"/>
      <c r="BV45" s="57"/>
      <c r="BW45" s="60"/>
      <c r="BX45" s="187"/>
      <c r="BY45" s="56"/>
      <c r="BZ45" s="56"/>
      <c r="CA45" s="56"/>
      <c r="CB45" s="72"/>
      <c r="CC45" s="72"/>
      <c r="CD45" s="72"/>
      <c r="CE45" s="60"/>
      <c r="CF45" s="72"/>
      <c r="CG45" s="56"/>
      <c r="CH45" s="57"/>
      <c r="CI45" s="52" t="s">
        <v>142</v>
      </c>
      <c r="CJ45" s="52" t="s">
        <v>142</v>
      </c>
      <c r="CK45" s="52" t="s">
        <v>142</v>
      </c>
      <c r="CL45" s="52" t="s">
        <v>142</v>
      </c>
      <c r="CM45" s="52" t="s">
        <v>142</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N45" s="790"/>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60">
      <c r="A46" s="48">
        <v>44</v>
      </c>
      <c r="B46" s="49"/>
      <c r="C46" s="50"/>
      <c r="D46" s="50"/>
      <c r="E46" s="51"/>
      <c r="F46" s="54"/>
      <c r="G46" s="53"/>
      <c r="H46" s="97"/>
      <c r="I46" s="57"/>
      <c r="J46" s="141"/>
      <c r="K46" s="56"/>
      <c r="L46" s="55"/>
      <c r="M46" s="56" t="s">
        <v>424</v>
      </c>
      <c r="N46" s="57"/>
      <c r="O46" s="114"/>
      <c r="P46" s="96"/>
      <c r="Q46" s="60"/>
      <c r="R46" s="61" t="e">
        <f>VLOOKUP(Sheet_1_Table_1_138[[#This Row],[Learning Domain]],[10]List!$A$7:$B$12,2,0)</f>
        <v>#N/A</v>
      </c>
      <c r="S46" s="55">
        <v>0</v>
      </c>
      <c r="T46" s="55">
        <v>0</v>
      </c>
      <c r="U46" s="55">
        <v>0</v>
      </c>
      <c r="V46" s="55">
        <v>0</v>
      </c>
      <c r="W46" s="55">
        <v>0</v>
      </c>
      <c r="X46" s="55">
        <v>0</v>
      </c>
      <c r="Y46" s="55">
        <v>0</v>
      </c>
      <c r="Z46" s="55">
        <v>0</v>
      </c>
      <c r="AA46" s="55">
        <v>0</v>
      </c>
      <c r="AB46" s="53">
        <f>SUM(Sheet_1_Table_1_138[[#This Row],[Leadership LS]:[Career Development  CR]])</f>
        <v>0</v>
      </c>
      <c r="AC46" s="97"/>
      <c r="AD46" s="55"/>
      <c r="AE46" s="55" t="s">
        <v>142</v>
      </c>
      <c r="AF46" s="55" t="s">
        <v>142</v>
      </c>
      <c r="AG46" s="55" t="s">
        <v>142</v>
      </c>
      <c r="AH46" s="55"/>
      <c r="AI46" s="55"/>
      <c r="AJ46" s="62">
        <f>Sheet_1_Table_1_138[[#This Row],[ILP Units Per Session]]*Sheet_1_Table_1_138[[#This Row],[Quota]]</f>
        <v>0</v>
      </c>
      <c r="AK46" s="63"/>
      <c r="AL46" s="165">
        <f>WEEKDAY(Sheet_1_Table_1_138[[#This Row],[Lesson 1 
Date 
(DD-MMM-YYYY)]])</f>
        <v>7</v>
      </c>
      <c r="AM46" s="65"/>
      <c r="AN46" s="66"/>
      <c r="AO46" s="67"/>
      <c r="AP46" s="68"/>
      <c r="AQ46" s="64">
        <f>WEEKDAY(Sheet_1_Table_1_138[[#This Row],[Lesson 2
Date 
(DD-MMM-YYYY)]])</f>
        <v>7</v>
      </c>
      <c r="AR46" s="65"/>
      <c r="AS46" s="66"/>
      <c r="AT46" s="126"/>
      <c r="AU46" s="63"/>
      <c r="AV46" s="64">
        <f>WEEKDAY(Sheet_1_Table_1_138[[#This Row],[Lesson 3
Date 
(DD-MMM-YYYY)]])</f>
        <v>7</v>
      </c>
      <c r="AW46" s="65"/>
      <c r="AX46" s="66"/>
      <c r="AY46" s="126"/>
      <c r="AZ46" s="98"/>
      <c r="BA46" s="64">
        <f>WEEKDAY(Sheet_1_Table_1_138[[#This Row],[Lesson 4
Date 
(DD-MMM-YYYY)]])</f>
        <v>7</v>
      </c>
      <c r="BB46" s="65"/>
      <c r="BC46" s="66"/>
      <c r="BD46" s="126"/>
      <c r="BE46" s="63"/>
      <c r="BF46" s="64">
        <f>WEEKDAY(Sheet_1_Table_1_138[[#This Row],[Lesson 5
Date 
(DD-MMM-YYYY)]])</f>
        <v>7</v>
      </c>
      <c r="BG46" s="65"/>
      <c r="BH46" s="66"/>
      <c r="BI46" s="126"/>
      <c r="BJ46" s="98"/>
      <c r="BK46" s="64">
        <f>WEEKDAY(Sheet_1_Table_1_138[[#This Row],[Lesson 6
Date 
(DD-MMM-YYYY)]])</f>
        <v>7</v>
      </c>
      <c r="BL46" s="65"/>
      <c r="BM46" s="66"/>
      <c r="BN46" s="99"/>
      <c r="BO46" s="54"/>
      <c r="BP46" s="69"/>
      <c r="BQ46" s="55"/>
      <c r="BR46" s="57"/>
      <c r="BS46" s="54"/>
      <c r="BT46" s="56"/>
      <c r="BU46" s="56"/>
      <c r="BV46" s="57"/>
      <c r="BW46" s="60"/>
      <c r="BX46" s="187"/>
      <c r="BY46" s="56"/>
      <c r="BZ46" s="56"/>
      <c r="CA46" s="56"/>
      <c r="CB46" s="72"/>
      <c r="CC46" s="72"/>
      <c r="CD46" s="72"/>
      <c r="CE46" s="60"/>
      <c r="CF46" s="72"/>
      <c r="CG46" s="56"/>
      <c r="CH46" s="57"/>
      <c r="CI46" s="52" t="s">
        <v>142</v>
      </c>
      <c r="CJ46" s="52" t="s">
        <v>142</v>
      </c>
      <c r="CK46" s="52" t="s">
        <v>142</v>
      </c>
      <c r="CL46" s="52" t="s">
        <v>142</v>
      </c>
      <c r="CM46" s="52" t="s">
        <v>142</v>
      </c>
      <c r="CN46" s="52" t="s">
        <v>142</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N46" s="790"/>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60">
      <c r="A47" s="48">
        <v>45</v>
      </c>
      <c r="B47" s="49"/>
      <c r="C47" s="50"/>
      <c r="D47" s="50"/>
      <c r="E47" s="51"/>
      <c r="F47" s="54"/>
      <c r="G47" s="53"/>
      <c r="H47" s="97"/>
      <c r="I47" s="57"/>
      <c r="J47" s="141"/>
      <c r="K47" s="56"/>
      <c r="L47" s="55"/>
      <c r="M47" s="56" t="s">
        <v>424</v>
      </c>
      <c r="N47" s="57"/>
      <c r="O47" s="114"/>
      <c r="P47" s="96"/>
      <c r="Q47" s="60"/>
      <c r="R47" s="77" t="e">
        <f>VLOOKUP(Sheet_1_Table_1_138[[#This Row],[Learning Domain]],[10]List!$A$7:$B$12,2,0)</f>
        <v>#N/A</v>
      </c>
      <c r="S47" s="55">
        <v>0</v>
      </c>
      <c r="T47" s="55">
        <v>0</v>
      </c>
      <c r="U47" s="55">
        <v>0</v>
      </c>
      <c r="V47" s="55">
        <v>0</v>
      </c>
      <c r="W47" s="55">
        <v>0</v>
      </c>
      <c r="X47" s="55">
        <v>0</v>
      </c>
      <c r="Y47" s="55">
        <v>0</v>
      </c>
      <c r="Z47" s="55">
        <v>0</v>
      </c>
      <c r="AA47" s="55">
        <v>0</v>
      </c>
      <c r="AB47" s="53">
        <f>SUM(Sheet_1_Table_1_138[[#This Row],[Leadership LS]:[Career Development  CR]])</f>
        <v>0</v>
      </c>
      <c r="AC47" s="97"/>
      <c r="AD47" s="55"/>
      <c r="AE47" s="55" t="s">
        <v>142</v>
      </c>
      <c r="AF47" s="55" t="s">
        <v>142</v>
      </c>
      <c r="AG47" s="55" t="s">
        <v>142</v>
      </c>
      <c r="AH47" s="55"/>
      <c r="AI47" s="55"/>
      <c r="AJ47" s="62">
        <f>Sheet_1_Table_1_138[[#This Row],[ILP Units Per Session]]*Sheet_1_Table_1_138[[#This Row],[Quota]]</f>
        <v>0</v>
      </c>
      <c r="AK47" s="63"/>
      <c r="AL47" s="64">
        <f>WEEKDAY(Sheet_1_Table_1_138[[#This Row],[Lesson 1 
Date 
(DD-MMM-YYYY)]])</f>
        <v>7</v>
      </c>
      <c r="AM47" s="65"/>
      <c r="AN47" s="66"/>
      <c r="AO47" s="67"/>
      <c r="AP47" s="68"/>
      <c r="AQ47" s="64">
        <f>WEEKDAY(Sheet_1_Table_1_138[[#This Row],[Lesson 2
Date 
(DD-MMM-YYYY)]])</f>
        <v>7</v>
      </c>
      <c r="AR47" s="65"/>
      <c r="AS47" s="66"/>
      <c r="AT47" s="126"/>
      <c r="AU47" s="63"/>
      <c r="AV47" s="64">
        <f>WEEKDAY(Sheet_1_Table_1_138[[#This Row],[Lesson 3
Date 
(DD-MMM-YYYY)]])</f>
        <v>7</v>
      </c>
      <c r="AW47" s="65"/>
      <c r="AX47" s="66"/>
      <c r="AY47" s="126"/>
      <c r="AZ47" s="98"/>
      <c r="BA47" s="64">
        <f>WEEKDAY(Sheet_1_Table_1_138[[#This Row],[Lesson 4
Date 
(DD-MMM-YYYY)]])</f>
        <v>7</v>
      </c>
      <c r="BB47" s="65"/>
      <c r="BC47" s="66"/>
      <c r="BD47" s="126"/>
      <c r="BE47" s="63"/>
      <c r="BF47" s="64">
        <f>WEEKDAY(Sheet_1_Table_1_138[[#This Row],[Lesson 5
Date 
(DD-MMM-YYYY)]])</f>
        <v>7</v>
      </c>
      <c r="BG47" s="65"/>
      <c r="BH47" s="66"/>
      <c r="BI47" s="126"/>
      <c r="BJ47" s="98"/>
      <c r="BK47" s="64">
        <f>WEEKDAY(Sheet_1_Table_1_138[[#This Row],[Lesson 6
Date 
(DD-MMM-YYYY)]])</f>
        <v>7</v>
      </c>
      <c r="BL47" s="65"/>
      <c r="BM47" s="66"/>
      <c r="BN47" s="99"/>
      <c r="BO47" s="54"/>
      <c r="BP47" s="69"/>
      <c r="BQ47" s="55"/>
      <c r="BR47" s="57"/>
      <c r="BS47" s="54"/>
      <c r="BT47" s="56"/>
      <c r="BU47" s="56"/>
      <c r="BV47" s="57"/>
      <c r="BW47" s="60"/>
      <c r="BX47" s="187"/>
      <c r="BY47" s="56"/>
      <c r="BZ47" s="56"/>
      <c r="CA47" s="56"/>
      <c r="CB47" s="72"/>
      <c r="CC47" s="72"/>
      <c r="CD47" s="72"/>
      <c r="CE47" s="60"/>
      <c r="CF47" s="72"/>
      <c r="CG47" s="56"/>
      <c r="CH47" s="57"/>
      <c r="CI47" s="52" t="s">
        <v>142</v>
      </c>
      <c r="CJ47" s="52" t="s">
        <v>142</v>
      </c>
      <c r="CK47" s="52" t="s">
        <v>142</v>
      </c>
      <c r="CL47" s="52" t="s">
        <v>142</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N47" s="790"/>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60">
      <c r="A48" s="48">
        <v>46</v>
      </c>
      <c r="B48" s="49"/>
      <c r="C48" s="50"/>
      <c r="D48" s="50"/>
      <c r="E48" s="51"/>
      <c r="F48" s="54"/>
      <c r="G48" s="53"/>
      <c r="H48" s="97"/>
      <c r="I48" s="57"/>
      <c r="J48" s="141"/>
      <c r="K48" s="56"/>
      <c r="L48" s="55"/>
      <c r="M48" s="56" t="s">
        <v>424</v>
      </c>
      <c r="N48" s="57"/>
      <c r="O48" s="114"/>
      <c r="P48" s="96"/>
      <c r="Q48" s="60"/>
      <c r="R48" s="61" t="e">
        <f>VLOOKUP(Sheet_1_Table_1_138[[#This Row],[Learning Domain]],[10]List!$A$7:$B$12,2,0)</f>
        <v>#N/A</v>
      </c>
      <c r="S48" s="55">
        <v>0</v>
      </c>
      <c r="T48" s="55">
        <v>0</v>
      </c>
      <c r="U48" s="55">
        <v>0</v>
      </c>
      <c r="V48" s="55">
        <v>0</v>
      </c>
      <c r="W48" s="55">
        <v>0</v>
      </c>
      <c r="X48" s="55">
        <v>0</v>
      </c>
      <c r="Y48" s="55">
        <v>0</v>
      </c>
      <c r="Z48" s="55">
        <v>0</v>
      </c>
      <c r="AA48" s="55">
        <v>0</v>
      </c>
      <c r="AB48" s="53">
        <f>SUM(Sheet_1_Table_1_138[[#This Row],[Leadership LS]:[Career Development  CR]])</f>
        <v>0</v>
      </c>
      <c r="AC48" s="97"/>
      <c r="AD48" s="55"/>
      <c r="AE48" s="55" t="s">
        <v>142</v>
      </c>
      <c r="AF48" s="55" t="s">
        <v>142</v>
      </c>
      <c r="AG48" s="55" t="s">
        <v>142</v>
      </c>
      <c r="AH48" s="55"/>
      <c r="AI48" s="55"/>
      <c r="AJ48" s="62">
        <f>Sheet_1_Table_1_138[[#This Row],[ILP Units Per Session]]*Sheet_1_Table_1_138[[#This Row],[Quota]]</f>
        <v>0</v>
      </c>
      <c r="AK48" s="63"/>
      <c r="AL48" s="165">
        <f>WEEKDAY(Sheet_1_Table_1_138[[#This Row],[Lesson 1 
Date 
(DD-MMM-YYYY)]])</f>
        <v>7</v>
      </c>
      <c r="AM48" s="65"/>
      <c r="AN48" s="66"/>
      <c r="AO48" s="67"/>
      <c r="AP48" s="68"/>
      <c r="AQ48" s="64">
        <f>WEEKDAY(Sheet_1_Table_1_138[[#This Row],[Lesson 2
Date 
(DD-MMM-YYYY)]])</f>
        <v>7</v>
      </c>
      <c r="AR48" s="65"/>
      <c r="AS48" s="66"/>
      <c r="AT48" s="126"/>
      <c r="AU48" s="63"/>
      <c r="AV48" s="64">
        <f>WEEKDAY(Sheet_1_Table_1_138[[#This Row],[Lesson 3
Date 
(DD-MMM-YYYY)]])</f>
        <v>7</v>
      </c>
      <c r="AW48" s="65"/>
      <c r="AX48" s="66"/>
      <c r="AY48" s="126"/>
      <c r="AZ48" s="98"/>
      <c r="BA48" s="64">
        <f>WEEKDAY(Sheet_1_Table_1_138[[#This Row],[Lesson 4
Date 
(DD-MMM-YYYY)]])</f>
        <v>7</v>
      </c>
      <c r="BB48" s="65"/>
      <c r="BC48" s="66"/>
      <c r="BD48" s="126"/>
      <c r="BE48" s="63"/>
      <c r="BF48" s="64">
        <f>WEEKDAY(Sheet_1_Table_1_138[[#This Row],[Lesson 5
Date 
(DD-MMM-YYYY)]])</f>
        <v>7</v>
      </c>
      <c r="BG48" s="65"/>
      <c r="BH48" s="66"/>
      <c r="BI48" s="126"/>
      <c r="BJ48" s="98"/>
      <c r="BK48" s="64">
        <f>WEEKDAY(Sheet_1_Table_1_138[[#This Row],[Lesson 6
Date 
(DD-MMM-YYYY)]])</f>
        <v>7</v>
      </c>
      <c r="BL48" s="65"/>
      <c r="BM48" s="66"/>
      <c r="BN48" s="99"/>
      <c r="BO48" s="54"/>
      <c r="BP48" s="69"/>
      <c r="BQ48" s="55"/>
      <c r="BR48" s="57"/>
      <c r="BS48" s="54"/>
      <c r="BT48" s="56"/>
      <c r="BU48" s="56"/>
      <c r="BV48" s="57"/>
      <c r="BW48" s="60"/>
      <c r="BX48" s="187"/>
      <c r="BY48" s="56"/>
      <c r="BZ48" s="56"/>
      <c r="CA48" s="56"/>
      <c r="CB48" s="72"/>
      <c r="CC48" s="72"/>
      <c r="CD48" s="72"/>
      <c r="CE48" s="60"/>
      <c r="CF48" s="72"/>
      <c r="CG48" s="56"/>
      <c r="CH48" s="57"/>
      <c r="CI48" s="52" t="s">
        <v>142</v>
      </c>
      <c r="CJ48" s="52" t="s">
        <v>142</v>
      </c>
      <c r="CK48" s="52" t="s">
        <v>142</v>
      </c>
      <c r="CL48" s="52" t="s">
        <v>142</v>
      </c>
      <c r="CM48" s="52" t="s">
        <v>142</v>
      </c>
      <c r="CN48" s="52" t="s">
        <v>142</v>
      </c>
      <c r="CO48" s="52" t="s">
        <v>142</v>
      </c>
      <c r="CP48" s="52" t="s">
        <v>142</v>
      </c>
      <c r="CQ48" s="52" t="s">
        <v>142</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N48" s="790"/>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60">
      <c r="A49" s="48">
        <v>47</v>
      </c>
      <c r="B49" s="49"/>
      <c r="C49" s="50"/>
      <c r="D49" s="50"/>
      <c r="E49" s="51"/>
      <c r="F49" s="54"/>
      <c r="G49" s="53"/>
      <c r="H49" s="97"/>
      <c r="I49" s="57"/>
      <c r="J49" s="141"/>
      <c r="K49" s="56"/>
      <c r="L49" s="55"/>
      <c r="M49" s="56" t="s">
        <v>424</v>
      </c>
      <c r="N49" s="57"/>
      <c r="O49" s="114"/>
      <c r="P49" s="96"/>
      <c r="Q49" s="60"/>
      <c r="R49" s="61" t="e">
        <f>VLOOKUP(Sheet_1_Table_1_138[[#This Row],[Learning Domain]],[10]List!$A$7:$B$12,2,0)</f>
        <v>#N/A</v>
      </c>
      <c r="S49" s="55">
        <v>0</v>
      </c>
      <c r="T49" s="55">
        <v>0</v>
      </c>
      <c r="U49" s="55">
        <v>0</v>
      </c>
      <c r="V49" s="55">
        <v>0</v>
      </c>
      <c r="W49" s="55">
        <v>0</v>
      </c>
      <c r="X49" s="55">
        <v>0</v>
      </c>
      <c r="Y49" s="55">
        <v>0</v>
      </c>
      <c r="Z49" s="55">
        <v>0</v>
      </c>
      <c r="AA49" s="55">
        <v>0</v>
      </c>
      <c r="AB49" s="53">
        <f>SUM(Sheet_1_Table_1_138[[#This Row],[Leadership LS]:[Career Development  CR]])</f>
        <v>0</v>
      </c>
      <c r="AC49" s="97"/>
      <c r="AD49" s="55"/>
      <c r="AE49" s="55" t="s">
        <v>142</v>
      </c>
      <c r="AF49" s="55" t="s">
        <v>142</v>
      </c>
      <c r="AG49" s="55" t="s">
        <v>142</v>
      </c>
      <c r="AH49" s="55"/>
      <c r="AI49" s="55"/>
      <c r="AJ49" s="62">
        <f>Sheet_1_Table_1_138[[#This Row],[ILP Units Per Session]]*Sheet_1_Table_1_138[[#This Row],[Quota]]</f>
        <v>0</v>
      </c>
      <c r="AK49" s="63"/>
      <c r="AL49" s="64">
        <f>WEEKDAY(Sheet_1_Table_1_138[[#This Row],[Lesson 1 
Date 
(DD-MMM-YYYY)]])</f>
        <v>7</v>
      </c>
      <c r="AM49" s="65"/>
      <c r="AN49" s="66"/>
      <c r="AO49" s="67"/>
      <c r="AP49" s="68"/>
      <c r="AQ49" s="64">
        <f>WEEKDAY(Sheet_1_Table_1_138[[#This Row],[Lesson 2
Date 
(DD-MMM-YYYY)]])</f>
        <v>7</v>
      </c>
      <c r="AR49" s="65"/>
      <c r="AS49" s="66"/>
      <c r="AT49" s="126"/>
      <c r="AU49" s="63"/>
      <c r="AV49" s="64">
        <f>WEEKDAY(Sheet_1_Table_1_138[[#This Row],[Lesson 3
Date 
(DD-MMM-YYYY)]])</f>
        <v>7</v>
      </c>
      <c r="AW49" s="65"/>
      <c r="AX49" s="66"/>
      <c r="AY49" s="126"/>
      <c r="AZ49" s="98"/>
      <c r="BA49" s="64">
        <f>WEEKDAY(Sheet_1_Table_1_138[[#This Row],[Lesson 4
Date 
(DD-MMM-YYYY)]])</f>
        <v>7</v>
      </c>
      <c r="BB49" s="65"/>
      <c r="BC49" s="66"/>
      <c r="BD49" s="126"/>
      <c r="BE49" s="63"/>
      <c r="BF49" s="64">
        <f>WEEKDAY(Sheet_1_Table_1_138[[#This Row],[Lesson 5
Date 
(DD-MMM-YYYY)]])</f>
        <v>7</v>
      </c>
      <c r="BG49" s="65"/>
      <c r="BH49" s="66"/>
      <c r="BI49" s="126"/>
      <c r="BJ49" s="98"/>
      <c r="BK49" s="64">
        <f>WEEKDAY(Sheet_1_Table_1_138[[#This Row],[Lesson 6
Date 
(DD-MMM-YYYY)]])</f>
        <v>7</v>
      </c>
      <c r="BL49" s="65"/>
      <c r="BM49" s="66"/>
      <c r="BN49" s="99"/>
      <c r="BO49" s="54"/>
      <c r="BP49" s="69"/>
      <c r="BQ49" s="55"/>
      <c r="BR49" s="57"/>
      <c r="BS49" s="54"/>
      <c r="BT49" s="56"/>
      <c r="BU49" s="56"/>
      <c r="BV49" s="57"/>
      <c r="BW49" s="60"/>
      <c r="BX49" s="187"/>
      <c r="BY49" s="56"/>
      <c r="BZ49" s="56"/>
      <c r="CA49" s="56"/>
      <c r="CB49" s="72"/>
      <c r="CC49" s="72"/>
      <c r="CD49" s="72"/>
      <c r="CE49" s="60"/>
      <c r="CF49" s="72"/>
      <c r="CG49" s="56"/>
      <c r="CH49" s="57"/>
      <c r="CI49" s="52" t="s">
        <v>142</v>
      </c>
      <c r="CJ49" s="52" t="s">
        <v>142</v>
      </c>
      <c r="CK49" s="52" t="s">
        <v>142</v>
      </c>
      <c r="CL49" s="52" t="s">
        <v>142</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N49" s="790"/>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60">
      <c r="A50" s="48">
        <v>48</v>
      </c>
      <c r="B50" s="49"/>
      <c r="C50" s="50"/>
      <c r="D50" s="50"/>
      <c r="E50" s="51"/>
      <c r="F50" s="54"/>
      <c r="G50" s="53"/>
      <c r="H50" s="97"/>
      <c r="I50" s="57"/>
      <c r="J50" s="141"/>
      <c r="K50" s="56"/>
      <c r="L50" s="55"/>
      <c r="M50" s="56" t="s">
        <v>424</v>
      </c>
      <c r="N50" s="57"/>
      <c r="O50" s="114"/>
      <c r="P50" s="96"/>
      <c r="Q50" s="60"/>
      <c r="R50" s="77" t="e">
        <f>VLOOKUP(Sheet_1_Table_1_138[[#This Row],[Learning Domain]],[10]List!$A$7:$B$12,2,0)</f>
        <v>#N/A</v>
      </c>
      <c r="S50" s="55">
        <v>0</v>
      </c>
      <c r="T50" s="55">
        <v>0</v>
      </c>
      <c r="U50" s="55">
        <v>0</v>
      </c>
      <c r="V50" s="55">
        <v>0</v>
      </c>
      <c r="W50" s="55">
        <v>0</v>
      </c>
      <c r="X50" s="55">
        <v>0</v>
      </c>
      <c r="Y50" s="55">
        <v>0</v>
      </c>
      <c r="Z50" s="55">
        <v>0</v>
      </c>
      <c r="AA50" s="55">
        <v>0</v>
      </c>
      <c r="AB50" s="53">
        <f>SUM(Sheet_1_Table_1_138[[#This Row],[Leadership LS]:[Career Development  CR]])</f>
        <v>0</v>
      </c>
      <c r="AC50" s="97"/>
      <c r="AD50" s="55"/>
      <c r="AE50" s="55" t="s">
        <v>142</v>
      </c>
      <c r="AF50" s="55" t="s">
        <v>142</v>
      </c>
      <c r="AG50" s="55" t="s">
        <v>142</v>
      </c>
      <c r="AH50" s="55"/>
      <c r="AI50" s="55"/>
      <c r="AJ50" s="62">
        <f>Sheet_1_Table_1_138[[#This Row],[ILP Units Per Session]]*Sheet_1_Table_1_138[[#This Row],[Quota]]</f>
        <v>0</v>
      </c>
      <c r="AK50" s="63"/>
      <c r="AL50" s="64">
        <f>WEEKDAY(Sheet_1_Table_1_138[[#This Row],[Lesson 1 
Date 
(DD-MMM-YYYY)]])</f>
        <v>7</v>
      </c>
      <c r="AM50" s="65"/>
      <c r="AN50" s="66"/>
      <c r="AO50" s="67"/>
      <c r="AP50" s="68"/>
      <c r="AQ50" s="64">
        <f>WEEKDAY(Sheet_1_Table_1_138[[#This Row],[Lesson 2
Date 
(DD-MMM-YYYY)]])</f>
        <v>7</v>
      </c>
      <c r="AR50" s="65"/>
      <c r="AS50" s="66"/>
      <c r="AT50" s="126"/>
      <c r="AU50" s="63"/>
      <c r="AV50" s="64">
        <f>WEEKDAY(Sheet_1_Table_1_138[[#This Row],[Lesson 3
Date 
(DD-MMM-YYYY)]])</f>
        <v>7</v>
      </c>
      <c r="AW50" s="65"/>
      <c r="AX50" s="66"/>
      <c r="AY50" s="126"/>
      <c r="AZ50" s="98"/>
      <c r="BA50" s="64">
        <f>WEEKDAY(Sheet_1_Table_1_138[[#This Row],[Lesson 4
Date 
(DD-MMM-YYYY)]])</f>
        <v>7</v>
      </c>
      <c r="BB50" s="65"/>
      <c r="BC50" s="66"/>
      <c r="BD50" s="126"/>
      <c r="BE50" s="63"/>
      <c r="BF50" s="64">
        <f>WEEKDAY(Sheet_1_Table_1_138[[#This Row],[Lesson 5
Date 
(DD-MMM-YYYY)]])</f>
        <v>7</v>
      </c>
      <c r="BG50" s="65"/>
      <c r="BH50" s="66"/>
      <c r="BI50" s="126"/>
      <c r="BJ50" s="98"/>
      <c r="BK50" s="64">
        <f>WEEKDAY(Sheet_1_Table_1_138[[#This Row],[Lesson 6
Date 
(DD-MMM-YYYY)]])</f>
        <v>7</v>
      </c>
      <c r="BL50" s="65"/>
      <c r="BM50" s="66"/>
      <c r="BN50" s="99"/>
      <c r="BO50" s="54"/>
      <c r="BP50" s="69"/>
      <c r="BQ50" s="55"/>
      <c r="BR50" s="57"/>
      <c r="BS50" s="54"/>
      <c r="BT50" s="56"/>
      <c r="BU50" s="56"/>
      <c r="BV50" s="57"/>
      <c r="BW50" s="60"/>
      <c r="BX50" s="187"/>
      <c r="BY50" s="56"/>
      <c r="BZ50" s="56"/>
      <c r="CA50" s="56"/>
      <c r="CB50" s="72"/>
      <c r="CC50" s="72"/>
      <c r="CD50" s="72"/>
      <c r="CE50" s="60"/>
      <c r="CF50" s="72"/>
      <c r="CG50" s="56"/>
      <c r="CH50" s="57"/>
      <c r="CI50" s="52" t="s">
        <v>142</v>
      </c>
      <c r="CJ50" s="52" t="s">
        <v>142</v>
      </c>
      <c r="CK50" s="52" t="s">
        <v>142</v>
      </c>
      <c r="CL50" s="52" t="s">
        <v>142</v>
      </c>
      <c r="CM50" s="52" t="s">
        <v>142</v>
      </c>
      <c r="CN50" s="52" t="s">
        <v>142</v>
      </c>
      <c r="CO50" s="52" t="s">
        <v>142</v>
      </c>
      <c r="CP50" s="52" t="s">
        <v>142</v>
      </c>
      <c r="CQ50" s="52" t="s">
        <v>142</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N50" s="790"/>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60">
      <c r="A51" s="48">
        <v>49</v>
      </c>
      <c r="B51" s="49"/>
      <c r="C51" s="50"/>
      <c r="D51" s="50"/>
      <c r="E51" s="51"/>
      <c r="F51" s="54"/>
      <c r="G51" s="53"/>
      <c r="H51" s="97"/>
      <c r="I51" s="57"/>
      <c r="J51" s="141"/>
      <c r="K51" s="56"/>
      <c r="L51" s="55"/>
      <c r="M51" s="56" t="s">
        <v>424</v>
      </c>
      <c r="N51" s="57"/>
      <c r="O51" s="114"/>
      <c r="P51" s="96"/>
      <c r="Q51" s="60"/>
      <c r="R51" s="61" t="e">
        <f>VLOOKUP(Sheet_1_Table_1_138[[#This Row],[Learning Domain]],[10]List!$A$7:$B$12,2,0)</f>
        <v>#N/A</v>
      </c>
      <c r="S51" s="55">
        <v>0</v>
      </c>
      <c r="T51" s="55">
        <v>0</v>
      </c>
      <c r="U51" s="55">
        <v>0</v>
      </c>
      <c r="V51" s="55">
        <v>0</v>
      </c>
      <c r="W51" s="55">
        <v>0</v>
      </c>
      <c r="X51" s="55">
        <v>0</v>
      </c>
      <c r="Y51" s="55">
        <v>0</v>
      </c>
      <c r="Z51" s="55">
        <v>0</v>
      </c>
      <c r="AA51" s="55">
        <v>0</v>
      </c>
      <c r="AB51" s="53">
        <f>SUM(Sheet_1_Table_1_138[[#This Row],[Leadership LS]:[Career Development  CR]])</f>
        <v>0</v>
      </c>
      <c r="AC51" s="97"/>
      <c r="AD51" s="55"/>
      <c r="AE51" s="55" t="s">
        <v>142</v>
      </c>
      <c r="AF51" s="55" t="s">
        <v>142</v>
      </c>
      <c r="AG51" s="55" t="s">
        <v>142</v>
      </c>
      <c r="AH51" s="55"/>
      <c r="AI51" s="55"/>
      <c r="AJ51" s="62">
        <f>Sheet_1_Table_1_138[[#This Row],[ILP Units Per Session]]*Sheet_1_Table_1_138[[#This Row],[Quota]]</f>
        <v>0</v>
      </c>
      <c r="AK51" s="63"/>
      <c r="AL51" s="64">
        <f>WEEKDAY(Sheet_1_Table_1_138[[#This Row],[Lesson 1 
Date 
(DD-MMM-YYYY)]])</f>
        <v>7</v>
      </c>
      <c r="AM51" s="65"/>
      <c r="AN51" s="66"/>
      <c r="AO51" s="67"/>
      <c r="AP51" s="68"/>
      <c r="AQ51" s="64">
        <f>WEEKDAY(Sheet_1_Table_1_138[[#This Row],[Lesson 2
Date 
(DD-MMM-YYYY)]])</f>
        <v>7</v>
      </c>
      <c r="AR51" s="65"/>
      <c r="AS51" s="66"/>
      <c r="AT51" s="126"/>
      <c r="AU51" s="63"/>
      <c r="AV51" s="64">
        <f>WEEKDAY(Sheet_1_Table_1_138[[#This Row],[Lesson 3
Date 
(DD-MMM-YYYY)]])</f>
        <v>7</v>
      </c>
      <c r="AW51" s="65"/>
      <c r="AX51" s="66"/>
      <c r="AY51" s="126"/>
      <c r="AZ51" s="98"/>
      <c r="BA51" s="64">
        <f>WEEKDAY(Sheet_1_Table_1_138[[#This Row],[Lesson 4
Date 
(DD-MMM-YYYY)]])</f>
        <v>7</v>
      </c>
      <c r="BB51" s="65"/>
      <c r="BC51" s="66"/>
      <c r="BD51" s="126"/>
      <c r="BE51" s="63"/>
      <c r="BF51" s="64">
        <f>WEEKDAY(Sheet_1_Table_1_138[[#This Row],[Lesson 5
Date 
(DD-MMM-YYYY)]])</f>
        <v>7</v>
      </c>
      <c r="BG51" s="65"/>
      <c r="BH51" s="66"/>
      <c r="BI51" s="126"/>
      <c r="BJ51" s="98"/>
      <c r="BK51" s="64">
        <f>WEEKDAY(Sheet_1_Table_1_138[[#This Row],[Lesson 6
Date 
(DD-MMM-YYYY)]])</f>
        <v>7</v>
      </c>
      <c r="BL51" s="65"/>
      <c r="BM51" s="66"/>
      <c r="BN51" s="99"/>
      <c r="BO51" s="54"/>
      <c r="BP51" s="69"/>
      <c r="BQ51" s="55"/>
      <c r="BR51" s="57"/>
      <c r="BS51" s="54"/>
      <c r="BT51" s="56"/>
      <c r="BU51" s="56"/>
      <c r="BV51" s="57"/>
      <c r="BW51" s="60"/>
      <c r="BX51" s="187"/>
      <c r="BY51" s="56"/>
      <c r="BZ51" s="56"/>
      <c r="CA51" s="56"/>
      <c r="CB51" s="72"/>
      <c r="CC51" s="72"/>
      <c r="CD51" s="72"/>
      <c r="CE51" s="60"/>
      <c r="CF51" s="72"/>
      <c r="CG51" s="56"/>
      <c r="CH51" s="57"/>
      <c r="CI51" s="52" t="s">
        <v>142</v>
      </c>
      <c r="CJ51" s="52" t="s">
        <v>142</v>
      </c>
      <c r="CK51" s="52" t="s">
        <v>142</v>
      </c>
      <c r="CL51" s="52" t="s">
        <v>142</v>
      </c>
      <c r="CM51" s="52" t="s">
        <v>142</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N51" s="790"/>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60">
      <c r="A52" s="48">
        <v>50</v>
      </c>
      <c r="B52" s="49"/>
      <c r="C52" s="50"/>
      <c r="D52" s="50"/>
      <c r="E52" s="51"/>
      <c r="F52" s="54"/>
      <c r="G52" s="53"/>
      <c r="H52" s="97"/>
      <c r="I52" s="57"/>
      <c r="J52" s="141"/>
      <c r="K52" s="56"/>
      <c r="L52" s="55"/>
      <c r="M52" s="56" t="s">
        <v>424</v>
      </c>
      <c r="N52" s="57"/>
      <c r="O52" s="114"/>
      <c r="P52" s="96"/>
      <c r="Q52" s="60"/>
      <c r="R52" s="61" t="e">
        <f>VLOOKUP(Sheet_1_Table_1_138[[#This Row],[Learning Domain]],[10]List!$A$7:$B$12,2,0)</f>
        <v>#N/A</v>
      </c>
      <c r="S52" s="55">
        <v>0</v>
      </c>
      <c r="T52" s="55">
        <v>0</v>
      </c>
      <c r="U52" s="55">
        <v>0</v>
      </c>
      <c r="V52" s="55">
        <v>0</v>
      </c>
      <c r="W52" s="55">
        <v>0</v>
      </c>
      <c r="X52" s="55">
        <v>0</v>
      </c>
      <c r="Y52" s="55">
        <v>0</v>
      </c>
      <c r="Z52" s="55">
        <v>0</v>
      </c>
      <c r="AA52" s="55">
        <v>0</v>
      </c>
      <c r="AB52" s="53">
        <f>SUM(Sheet_1_Table_1_138[[#This Row],[Leadership LS]:[Career Development  CR]])</f>
        <v>0</v>
      </c>
      <c r="AC52" s="97"/>
      <c r="AD52" s="55"/>
      <c r="AE52" s="55" t="s">
        <v>142</v>
      </c>
      <c r="AF52" s="55" t="s">
        <v>142</v>
      </c>
      <c r="AG52" s="55" t="s">
        <v>142</v>
      </c>
      <c r="AH52" s="55"/>
      <c r="AI52" s="55"/>
      <c r="AJ52" s="62">
        <f>Sheet_1_Table_1_138[[#This Row],[ILP Units Per Session]]*Sheet_1_Table_1_138[[#This Row],[Quota]]</f>
        <v>0</v>
      </c>
      <c r="AK52" s="63"/>
      <c r="AL52" s="64">
        <f>WEEKDAY(Sheet_1_Table_1_138[[#This Row],[Lesson 1 
Date 
(DD-MMM-YYYY)]])</f>
        <v>7</v>
      </c>
      <c r="AM52" s="65"/>
      <c r="AN52" s="66"/>
      <c r="AO52" s="67"/>
      <c r="AP52" s="68"/>
      <c r="AQ52" s="64">
        <f>WEEKDAY(Sheet_1_Table_1_138[[#This Row],[Lesson 2
Date 
(DD-MMM-YYYY)]])</f>
        <v>7</v>
      </c>
      <c r="AR52" s="65"/>
      <c r="AS52" s="66"/>
      <c r="AT52" s="126"/>
      <c r="AU52" s="63"/>
      <c r="AV52" s="64">
        <f>WEEKDAY(Sheet_1_Table_1_138[[#This Row],[Lesson 3
Date 
(DD-MMM-YYYY)]])</f>
        <v>7</v>
      </c>
      <c r="AW52" s="65"/>
      <c r="AX52" s="66"/>
      <c r="AY52" s="126"/>
      <c r="AZ52" s="98"/>
      <c r="BA52" s="64">
        <f>WEEKDAY(Sheet_1_Table_1_138[[#This Row],[Lesson 4
Date 
(DD-MMM-YYYY)]])</f>
        <v>7</v>
      </c>
      <c r="BB52" s="65"/>
      <c r="BC52" s="66"/>
      <c r="BD52" s="126"/>
      <c r="BE52" s="63"/>
      <c r="BF52" s="64">
        <f>WEEKDAY(Sheet_1_Table_1_138[[#This Row],[Lesson 5
Date 
(DD-MMM-YYYY)]])</f>
        <v>7</v>
      </c>
      <c r="BG52" s="65"/>
      <c r="BH52" s="66"/>
      <c r="BI52" s="126"/>
      <c r="BJ52" s="98"/>
      <c r="BK52" s="64">
        <f>WEEKDAY(Sheet_1_Table_1_138[[#This Row],[Lesson 6
Date 
(DD-MMM-YYYY)]])</f>
        <v>7</v>
      </c>
      <c r="BL52" s="65"/>
      <c r="BM52" s="66"/>
      <c r="BN52" s="99"/>
      <c r="BO52" s="54"/>
      <c r="BP52" s="69"/>
      <c r="BQ52" s="55"/>
      <c r="BR52" s="57"/>
      <c r="BS52" s="54"/>
      <c r="BT52" s="56"/>
      <c r="BU52" s="56"/>
      <c r="BV52" s="57"/>
      <c r="BW52" s="60"/>
      <c r="BX52" s="187"/>
      <c r="BY52" s="56"/>
      <c r="BZ52" s="56"/>
      <c r="CA52" s="56"/>
      <c r="CB52" s="72"/>
      <c r="CC52" s="72"/>
      <c r="CD52" s="72"/>
      <c r="CE52" s="60"/>
      <c r="CF52" s="72"/>
      <c r="CG52" s="56"/>
      <c r="CH52" s="57"/>
      <c r="CI52" s="52" t="s">
        <v>142</v>
      </c>
      <c r="CJ52" s="52" t="s">
        <v>142</v>
      </c>
      <c r="CK52" s="52" t="s">
        <v>142</v>
      </c>
      <c r="CL52" s="52" t="s">
        <v>142</v>
      </c>
      <c r="CM52" s="52" t="s">
        <v>142</v>
      </c>
      <c r="CN52" s="52" t="s">
        <v>142</v>
      </c>
      <c r="CO52" s="52" t="s">
        <v>142</v>
      </c>
      <c r="CP52" s="52" t="s">
        <v>142</v>
      </c>
      <c r="CQ52" s="52" t="s">
        <v>142</v>
      </c>
      <c r="CR52" s="52" t="s">
        <v>142</v>
      </c>
      <c r="CS52" s="52" t="s">
        <v>142</v>
      </c>
      <c r="CT52" s="52" t="s">
        <v>142</v>
      </c>
      <c r="CU52" s="52" t="s">
        <v>142</v>
      </c>
      <c r="CV52" s="52" t="s">
        <v>142</v>
      </c>
      <c r="CW52" s="52" t="s">
        <v>142</v>
      </c>
      <c r="CX52" s="52" t="s">
        <v>142</v>
      </c>
      <c r="CY52" s="52" t="s">
        <v>142</v>
      </c>
      <c r="CZ52" s="59" t="s">
        <v>142</v>
      </c>
      <c r="DA52" s="54" t="s">
        <v>154</v>
      </c>
      <c r="DB52" s="50" t="s">
        <v>155</v>
      </c>
      <c r="DC52" s="50" t="s">
        <v>156</v>
      </c>
      <c r="DD52" s="50" t="s">
        <v>146</v>
      </c>
      <c r="DE52" s="50" t="s">
        <v>157</v>
      </c>
      <c r="DF52" s="50" t="s">
        <v>146</v>
      </c>
      <c r="DG52" s="73"/>
      <c r="DH52" s="73"/>
      <c r="DI52" s="74"/>
      <c r="DJ52" s="75"/>
      <c r="DK52" s="76" t="s">
        <v>146</v>
      </c>
      <c r="DL52" s="76" t="s">
        <v>146</v>
      </c>
      <c r="DM52" s="76" t="s">
        <v>146</v>
      </c>
      <c r="DN52" s="790"/>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K3">
    <cfRule type="cellIs" dxfId="80" priority="31" operator="greaterThan">
      <formula>0</formula>
    </cfRule>
  </conditionalFormatting>
  <conditionalFormatting sqref="K6">
    <cfRule type="cellIs" dxfId="79" priority="29" operator="greaterThan">
      <formula>0</formula>
    </cfRule>
  </conditionalFormatting>
  <conditionalFormatting sqref="K9:K13">
    <cfRule type="cellIs" dxfId="78" priority="27" operator="greaterThan">
      <formula>0</formula>
    </cfRule>
  </conditionalFormatting>
  <conditionalFormatting sqref="K15:K18">
    <cfRule type="cellIs" dxfId="77" priority="26" operator="greaterThan">
      <formula>0</formula>
    </cfRule>
  </conditionalFormatting>
  <conditionalFormatting sqref="K21">
    <cfRule type="cellIs" dxfId="76" priority="24" operator="greaterThan">
      <formula>0</formula>
    </cfRule>
  </conditionalFormatting>
  <conditionalFormatting sqref="K4:L5">
    <cfRule type="cellIs" dxfId="75" priority="30" operator="greaterThan">
      <formula>0</formula>
    </cfRule>
  </conditionalFormatting>
  <conditionalFormatting sqref="K7:L8">
    <cfRule type="cellIs" dxfId="74" priority="28" operator="greaterThan">
      <formula>0</formula>
    </cfRule>
  </conditionalFormatting>
  <conditionalFormatting sqref="K19:L20">
    <cfRule type="cellIs" dxfId="73" priority="25" operator="greaterThan">
      <formula>0</formula>
    </cfRule>
  </conditionalFormatting>
  <conditionalFormatting sqref="L14">
    <cfRule type="cellIs" dxfId="72" priority="19" operator="greaterThan">
      <formula>0</formula>
    </cfRule>
  </conditionalFormatting>
  <conditionalFormatting sqref="L23:L24">
    <cfRule type="cellIs" dxfId="71" priority="15" operator="greaterThan">
      <formula>0</formula>
    </cfRule>
  </conditionalFormatting>
  <conditionalFormatting sqref="L30:L33">
    <cfRule type="cellIs" dxfId="70" priority="10" operator="greaterThan">
      <formula>0</formula>
    </cfRule>
  </conditionalFormatting>
  <conditionalFormatting sqref="S3:AA52">
    <cfRule type="cellIs" dxfId="69" priority="6" operator="greaterThan">
      <formula>0</formula>
    </cfRule>
  </conditionalFormatting>
  <conditionalFormatting sqref="AB3:AB52">
    <cfRule type="cellIs" dxfId="68" priority="7" operator="notEqual">
      <formula>100</formula>
    </cfRule>
    <cfRule type="cellIs" dxfId="67" priority="8" operator="equal">
      <formula>100</formula>
    </cfRule>
  </conditionalFormatting>
  <conditionalFormatting sqref="AE3:AG52">
    <cfRule type="containsText" dxfId="66" priority="2" operator="containsText" text="Y">
      <formula>NOT(ISERROR(SEARCH("Y",AE3)))</formula>
    </cfRule>
  </conditionalFormatting>
  <conditionalFormatting sqref="CI3:CZ34 CI41:CZ52">
    <cfRule type="containsText" dxfId="65" priority="9" operator="containsText" text="Y">
      <formula>NOT(ISERROR(SEARCH("Y",CI3)))</formula>
    </cfRule>
  </conditionalFormatting>
  <conditionalFormatting sqref="CI35:DB40">
    <cfRule type="containsText" dxfId="64" priority="1" operator="containsText" text="Y">
      <formula>NOT(ISERROR(SEARCH("Y",CI35)))</formula>
    </cfRule>
  </conditionalFormatting>
  <conditionalFormatting sqref="DI3:DJ52">
    <cfRule type="containsText" dxfId="63" priority="3" operator="containsText" text="Y">
      <formula>NOT(ISERROR(SEARCH("Y",DI3)))</formula>
    </cfRule>
  </conditionalFormatting>
  <hyperlinks>
    <hyperlink ref="CF3" r:id="rId1" xr:uid="{F47A0BC8-DC8A-43FB-B55B-F93EC450EF5C}"/>
    <hyperlink ref="CF4" r:id="rId2" xr:uid="{77E89827-0BC0-4AF8-843F-F6B889FC547E}"/>
    <hyperlink ref="CF5" r:id="rId3" xr:uid="{558CEF96-749C-44EE-8B20-B30C10356C2E}"/>
    <hyperlink ref="CF15" r:id="rId4" xr:uid="{1D2BC92B-D1E3-45F7-8B70-A65259249674}"/>
    <hyperlink ref="CF17" r:id="rId5" xr:uid="{BF911730-4EBF-4EF7-8CBC-E6EB36671800}"/>
    <hyperlink ref="CF18" r:id="rId6" xr:uid="{259604C0-C90E-4ED9-A813-DCA8E683F674}"/>
    <hyperlink ref="CF16" r:id="rId7" xr:uid="{6450D29F-414F-4313-B107-91A91CF191A0}"/>
    <hyperlink ref="CF19" r:id="rId8" xr:uid="{CE24B169-B510-4BD0-BBAA-9EF738723AA9}"/>
    <hyperlink ref="CF20" r:id="rId9" xr:uid="{5A71D238-2A6C-4CFE-97D4-10820E98B444}"/>
    <hyperlink ref="CF21" r:id="rId10" xr:uid="{653B4DD9-EEB4-4AB4-B316-0DD653C3B9D8}"/>
    <hyperlink ref="CF12" r:id="rId11" xr:uid="{D8E7DAA3-F393-40EA-8899-26F059439A99}"/>
    <hyperlink ref="CF13:CF14" r:id="rId12" display="nikiho@ln.edu.hk" xr:uid="{827EC4A3-C425-46CB-86EF-6001BF22E4B7}"/>
    <hyperlink ref="CF6" r:id="rId13" xr:uid="{EFB3EDE2-D39C-4703-AF83-375D2B7CC258}"/>
    <hyperlink ref="CF7" r:id="rId14" xr:uid="{00C545BB-DD92-421E-991F-F2E8C644057C}"/>
    <hyperlink ref="CF8" r:id="rId15" xr:uid="{79874E73-EDAF-48F4-A1B4-85CF1507F1E9}"/>
    <hyperlink ref="CF22" r:id="rId16" xr:uid="{8B594484-6275-482C-B739-AB94DD61CF3F}"/>
    <hyperlink ref="CH22" r:id="rId17" xr:uid="{8F1642E9-7BF3-485C-B6D7-C057FC69BAF8}"/>
    <hyperlink ref="CB22" r:id="rId18" xr:uid="{B985A1B7-2D45-4503-A23F-55FBD4FF1B5C}"/>
    <hyperlink ref="CF23" r:id="rId19" xr:uid="{36B5C214-1787-4E6E-B7E2-9442385D1CFF}"/>
    <hyperlink ref="CH23" r:id="rId20" xr:uid="{223D7357-D3E9-4574-AFC8-CBD7BE071FCB}"/>
    <hyperlink ref="CF24" r:id="rId21" xr:uid="{C594C4E0-EE45-4BCB-B50E-5330AA7CCB8F}"/>
    <hyperlink ref="CH24" r:id="rId22" xr:uid="{B72F061A-EFA8-4C9B-967F-10E400A6219C}"/>
    <hyperlink ref="CF25" r:id="rId23" xr:uid="{0A994F07-E794-41E7-9500-33407701AF94}"/>
    <hyperlink ref="CH25" r:id="rId24" xr:uid="{25E0C3E8-1652-4A00-BCCB-A93C5D6F0551}"/>
    <hyperlink ref="CF26" r:id="rId25" xr:uid="{308CA7AE-B88C-4840-BDD0-3EF6DBC369C1}"/>
    <hyperlink ref="CH26" r:id="rId26" xr:uid="{81A99BD5-D7B5-4E43-B277-14A518EFA540}"/>
    <hyperlink ref="CF27" r:id="rId27" xr:uid="{F3F32C4C-3A94-4B48-9EC1-EA95209F627F}"/>
    <hyperlink ref="CH27" r:id="rId28" xr:uid="{E956715E-17BC-4026-A4BB-753A56523FB7}"/>
    <hyperlink ref="CF28" r:id="rId29" xr:uid="{362BF04A-9C1E-4F4C-99A6-D64CC82FDD03}"/>
    <hyperlink ref="CH28" r:id="rId30" xr:uid="{6D584020-D030-410F-8659-ED3997DEB4C8}"/>
    <hyperlink ref="CF29" r:id="rId31" xr:uid="{0C0D3DAE-EECA-4280-BCF9-C282D7B0AD8A}"/>
    <hyperlink ref="CF30" r:id="rId32" xr:uid="{72AA4130-DFC1-49A5-9939-D3CD968C0FF6}"/>
    <hyperlink ref="CF31" r:id="rId33" xr:uid="{36807ACC-FFFA-4A55-BC1A-D053F531953B}"/>
    <hyperlink ref="CF32" r:id="rId34" xr:uid="{A42FBE90-4E2D-4838-8325-9FF475C81C2F}"/>
    <hyperlink ref="CF33" r:id="rId35" xr:uid="{6F2D7BB1-3D3E-4801-9F91-CAE9E931D8CD}"/>
    <hyperlink ref="CF34" r:id="rId36" xr:uid="{822C742D-BC26-4D67-9660-A82F882B1DE0}"/>
  </hyperlinks>
  <pageMargins left="0.7" right="0.7" top="0.75" bottom="0.75" header="0.3" footer="0.3"/>
  <pageSetup paperSize="9" scale="27" fitToWidth="0" orientation="portrait" r:id="rId37"/>
  <tableParts count="1">
    <tablePart r:id="rId38"/>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CFEF2-75AA-456C-BCB8-4AEB89862181}">
  <sheetPr>
    <pageSetUpPr fitToPage="1"/>
  </sheetPr>
  <dimension ref="A1:EZ44"/>
  <sheetViews>
    <sheetView topLeftCell="DG125" zoomScale="84" zoomScaleNormal="84" workbookViewId="0">
      <selection activeCell="DP3" sqref="DP3"/>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1.14062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customWidth="1"/>
    <col min="42" max="42" width="15.7109375" style="3" customWidth="1"/>
    <col min="43" max="43" width="11.7109375" style="3" customWidth="1"/>
    <col min="44" max="45" width="12.7109375" style="3" customWidth="1"/>
    <col min="46" max="46" width="12.85546875" style="159" customWidth="1"/>
    <col min="47" max="47" width="15.7109375" style="3" customWidth="1"/>
    <col min="48" max="48" width="11.7109375" style="3" customWidth="1"/>
    <col min="49" max="50" width="12.7109375" style="3" customWidth="1"/>
    <col min="51" max="51" width="12.85546875" style="159" customWidth="1"/>
    <col min="52" max="52" width="14.5703125" style="3" customWidth="1"/>
    <col min="53" max="53" width="11.7109375" style="3" customWidth="1"/>
    <col min="54" max="55" width="12.7109375" style="3" customWidth="1"/>
    <col min="56" max="56" width="12.85546875" style="159"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customWidth="1"/>
    <col min="67" max="67" width="15.28515625" style="3" customWidth="1"/>
    <col min="68" max="68" width="41.85546875" style="3" customWidth="1"/>
    <col min="69" max="69" width="20.7109375" style="3" customWidth="1"/>
    <col min="70" max="70" width="22" style="3" customWidth="1"/>
    <col min="71" max="71" width="15.28515625" style="4"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customWidth="1"/>
    <col min="81" max="81" width="15.7109375" style="4" customWidth="1"/>
    <col min="82" max="82" width="22" style="4" customWidth="1"/>
    <col min="83" max="84" width="23.28515625" style="4"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5" width="12.7109375" style="3" customWidth="1"/>
    <col min="106" max="106" width="15.5703125" style="3" bestFit="1"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5703125"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80" t="s">
        <v>0</v>
      </c>
      <c r="C1" s="878"/>
      <c r="D1" s="878"/>
      <c r="E1" s="874"/>
      <c r="F1" s="2"/>
      <c r="G1" s="2"/>
      <c r="H1" s="873" t="s">
        <v>1</v>
      </c>
      <c r="I1" s="874"/>
      <c r="K1" s="873" t="s">
        <v>2</v>
      </c>
      <c r="L1" s="874"/>
      <c r="M1" s="4"/>
      <c r="N1" s="4"/>
      <c r="O1" s="875" t="s">
        <v>3</v>
      </c>
      <c r="P1" s="877"/>
      <c r="Q1" s="873" t="s">
        <v>4</v>
      </c>
      <c r="R1" s="874"/>
      <c r="S1" s="873" t="s">
        <v>5</v>
      </c>
      <c r="T1" s="878"/>
      <c r="U1" s="878"/>
      <c r="V1" s="878"/>
      <c r="W1" s="878"/>
      <c r="X1" s="878"/>
      <c r="Y1" s="878"/>
      <c r="Z1" s="878"/>
      <c r="AA1" s="878"/>
      <c r="AB1" s="874"/>
      <c r="AD1" s="3"/>
      <c r="AE1" s="3"/>
      <c r="AH1" s="875" t="s">
        <v>6</v>
      </c>
      <c r="AI1" s="876"/>
      <c r="AJ1" s="877"/>
      <c r="AK1" s="5" t="s">
        <v>7</v>
      </c>
      <c r="AL1" s="3"/>
      <c r="AM1" s="3"/>
      <c r="AN1" s="3"/>
      <c r="AP1" s="875" t="s">
        <v>8</v>
      </c>
      <c r="AQ1" s="876"/>
      <c r="AR1" s="876"/>
      <c r="AS1" s="876"/>
      <c r="AT1" s="876"/>
      <c r="AU1" s="876"/>
      <c r="AV1" s="876"/>
      <c r="AW1" s="876"/>
      <c r="AX1" s="876"/>
      <c r="AY1" s="876"/>
      <c r="AZ1" s="876"/>
      <c r="BA1" s="876"/>
      <c r="BB1" s="876"/>
      <c r="BC1" s="876"/>
      <c r="BD1" s="876"/>
      <c r="BE1" s="876"/>
      <c r="BF1" s="876"/>
      <c r="BG1" s="876"/>
      <c r="BH1" s="876"/>
      <c r="BI1" s="876"/>
      <c r="BJ1" s="876"/>
      <c r="BK1" s="876"/>
      <c r="BL1" s="876"/>
      <c r="BM1" s="876"/>
      <c r="BN1" s="877"/>
      <c r="BP1" s="5" t="s">
        <v>9</v>
      </c>
      <c r="BQ1" s="5" t="s">
        <v>10</v>
      </c>
      <c r="BR1" s="4"/>
      <c r="BT1" s="4"/>
      <c r="BU1" s="4"/>
      <c r="BV1" s="4"/>
      <c r="BW1" s="873" t="s">
        <v>11</v>
      </c>
      <c r="BX1" s="878"/>
      <c r="BY1" s="878"/>
      <c r="BZ1" s="878"/>
      <c r="CA1" s="874"/>
      <c r="CB1" s="879"/>
      <c r="CC1" s="879"/>
      <c r="CD1" s="879"/>
      <c r="CE1" s="873" t="s">
        <v>12</v>
      </c>
      <c r="CF1" s="878"/>
      <c r="CG1" s="878"/>
      <c r="CH1" s="874"/>
      <c r="CI1" s="6"/>
      <c r="CJ1" s="875" t="s">
        <v>13</v>
      </c>
      <c r="CK1" s="876"/>
      <c r="CL1" s="876"/>
      <c r="CM1" s="876"/>
      <c r="CN1" s="876"/>
      <c r="CO1" s="876"/>
      <c r="CP1" s="876"/>
      <c r="CQ1" s="876"/>
      <c r="CR1" s="876"/>
      <c r="CS1" s="876"/>
      <c r="CT1" s="876"/>
      <c r="CU1" s="876"/>
      <c r="CV1" s="876"/>
      <c r="CW1" s="876"/>
      <c r="CX1" s="876"/>
      <c r="CY1" s="876"/>
      <c r="CZ1" s="877"/>
      <c r="DB1" s="7"/>
      <c r="DC1" s="7"/>
      <c r="DD1" s="4"/>
      <c r="DE1" s="7"/>
      <c r="DF1" s="7"/>
      <c r="DG1" s="7"/>
      <c r="DH1" s="4"/>
      <c r="DI1" s="873" t="s">
        <v>14</v>
      </c>
      <c r="DJ1" s="874"/>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c r="DN2" s="792" t="s">
        <v>2236</v>
      </c>
    </row>
    <row r="3" spans="1:156" ht="80.099999999999994" customHeight="1">
      <c r="A3" s="48">
        <v>1</v>
      </c>
      <c r="B3" s="49">
        <v>202609</v>
      </c>
      <c r="C3" s="50" t="s">
        <v>1454</v>
      </c>
      <c r="D3" s="50" t="s">
        <v>1455</v>
      </c>
      <c r="E3" s="51">
        <v>5734</v>
      </c>
      <c r="F3" s="52" t="s">
        <v>134</v>
      </c>
      <c r="G3" s="53" t="s">
        <v>157</v>
      </c>
      <c r="H3" s="59" t="s">
        <v>1456</v>
      </c>
      <c r="I3" s="54" t="s">
        <v>1457</v>
      </c>
      <c r="J3" s="60" t="s">
        <v>1458</v>
      </c>
      <c r="K3" s="69" t="s">
        <v>1459</v>
      </c>
      <c r="L3" s="55"/>
      <c r="M3" s="56" t="s">
        <v>1460</v>
      </c>
      <c r="N3" s="57" t="s">
        <v>1461</v>
      </c>
      <c r="O3" s="78" t="s">
        <v>146</v>
      </c>
      <c r="P3" s="59" t="s">
        <v>146</v>
      </c>
      <c r="Q3" s="60" t="s">
        <v>1462</v>
      </c>
      <c r="R3" s="77" t="str">
        <f>VLOOKUP(Sheet_1_Table_1_133[[#This Row],[Learning Domain]],[14]List!$A$7:$B$12,2,0)</f>
        <v>AES</v>
      </c>
      <c r="S3" s="55">
        <v>0</v>
      </c>
      <c r="T3" s="55">
        <v>0</v>
      </c>
      <c r="U3" s="55">
        <v>0</v>
      </c>
      <c r="V3" s="55">
        <v>50</v>
      </c>
      <c r="W3" s="55">
        <v>0</v>
      </c>
      <c r="X3" s="55">
        <v>50</v>
      </c>
      <c r="Y3" s="55">
        <v>0</v>
      </c>
      <c r="Z3" s="55">
        <v>0</v>
      </c>
      <c r="AA3" s="55">
        <v>0</v>
      </c>
      <c r="AB3" s="53">
        <f>SUM(Sheet_1_Table_1_133[[#This Row],[Leadership LS]:[Career Development  CR]])</f>
        <v>100</v>
      </c>
      <c r="AC3" s="52" t="s">
        <v>199</v>
      </c>
      <c r="AD3" s="55" t="s">
        <v>190</v>
      </c>
      <c r="AE3" s="55" t="s">
        <v>142</v>
      </c>
      <c r="AF3" s="55" t="s">
        <v>146</v>
      </c>
      <c r="AG3" s="55" t="s">
        <v>142</v>
      </c>
      <c r="AH3" s="55">
        <v>8</v>
      </c>
      <c r="AI3" s="55">
        <v>30</v>
      </c>
      <c r="AJ3" s="62">
        <v>240</v>
      </c>
      <c r="AK3" s="63">
        <v>46286</v>
      </c>
      <c r="AL3" s="165">
        <f>WEEKDAY(Sheet_1_Table_1_133[[#This Row],[Lesson 1 
Date 
(DD-MMM-YYYY)]])</f>
        <v>2</v>
      </c>
      <c r="AM3" s="65">
        <v>0.5625</v>
      </c>
      <c r="AN3" s="66">
        <v>0.625</v>
      </c>
      <c r="AO3" s="67" t="s">
        <v>147</v>
      </c>
      <c r="AP3" s="63">
        <v>46293</v>
      </c>
      <c r="AQ3" s="165">
        <f>WEEKDAY(Sheet_1_Table_1_133[[#This Row],[Lesson 2
Date 
(DD-MMM-YYYY)]]
)</f>
        <v>2</v>
      </c>
      <c r="AR3" s="65">
        <v>0.5625</v>
      </c>
      <c r="AS3" s="66">
        <v>0.625</v>
      </c>
      <c r="AT3" s="67" t="s">
        <v>147</v>
      </c>
      <c r="AU3" s="63">
        <v>46300</v>
      </c>
      <c r="AV3" s="165" t="e">
        <f>WEEKDAY([5]!Sheet_1_Table_1_13[[#This Row],[Lesson 3
Date 
(DD-MMM-YYYY)]])</f>
        <v>#REF!</v>
      </c>
      <c r="AW3" s="65">
        <v>0.5625</v>
      </c>
      <c r="AX3" s="66">
        <v>0.625</v>
      </c>
      <c r="AY3" s="67" t="s">
        <v>147</v>
      </c>
      <c r="AZ3" s="68">
        <v>46307</v>
      </c>
      <c r="BA3" s="64" t="e">
        <f>WEEKDAY([5]!Sheet_1_Table_1_13[[#This Row],[Lesson 4
Date 
(DD-MMM-YYYY)]])</f>
        <v>#REF!</v>
      </c>
      <c r="BB3" s="65">
        <v>0.5625</v>
      </c>
      <c r="BC3" s="66">
        <v>0.625</v>
      </c>
      <c r="BD3" s="67" t="s">
        <v>147</v>
      </c>
      <c r="BE3" s="68">
        <v>46321</v>
      </c>
      <c r="BF3" s="64" t="e">
        <f>WEEKDAY([5]!Sheet_1_Table_1_13[[#This Row],[Lesson 5
Date 
(DD-MMM-YYYY)]])</f>
        <v>#REF!</v>
      </c>
      <c r="BG3" s="65">
        <v>0.5625</v>
      </c>
      <c r="BH3" s="66">
        <v>0.625</v>
      </c>
      <c r="BI3" s="67" t="s">
        <v>147</v>
      </c>
      <c r="BJ3" s="68">
        <v>46328</v>
      </c>
      <c r="BK3" s="64" t="e">
        <f>WEEKDAY([5]!Sheet_1_Table_1_13[[#This Row],[Lesson 6
Date 
(DD-MMM-YYYY)]])</f>
        <v>#REF!</v>
      </c>
      <c r="BL3" s="65">
        <v>0.5625</v>
      </c>
      <c r="BM3" s="66">
        <v>0.625</v>
      </c>
      <c r="BN3" s="67" t="s">
        <v>147</v>
      </c>
      <c r="BO3" s="54" t="s">
        <v>293</v>
      </c>
      <c r="BP3" s="69" t="s">
        <v>1463</v>
      </c>
      <c r="BQ3" s="69" t="s">
        <v>487</v>
      </c>
      <c r="BR3" s="53" t="s">
        <v>1464</v>
      </c>
      <c r="BS3" s="52"/>
      <c r="BT3" s="56"/>
      <c r="BU3" s="56"/>
      <c r="BV3" s="70"/>
      <c r="BW3" s="60"/>
      <c r="BX3" s="71"/>
      <c r="BY3" s="56"/>
      <c r="BZ3" s="56"/>
      <c r="CA3" s="56"/>
      <c r="CB3" s="72"/>
      <c r="CC3" s="72"/>
      <c r="CD3" s="71"/>
      <c r="CE3" s="60" t="s">
        <v>1465</v>
      </c>
      <c r="CF3" s="164" t="s">
        <v>1466</v>
      </c>
      <c r="CG3" s="56"/>
      <c r="CH3" s="57"/>
      <c r="CI3" s="52" t="s">
        <v>146</v>
      </c>
      <c r="CJ3" s="52" t="s">
        <v>142</v>
      </c>
      <c r="CK3" s="52" t="s">
        <v>142</v>
      </c>
      <c r="CL3" s="52" t="s">
        <v>146</v>
      </c>
      <c r="CM3" s="52" t="s">
        <v>146</v>
      </c>
      <c r="CN3" s="52" t="s">
        <v>142</v>
      </c>
      <c r="CO3" s="52" t="s">
        <v>142</v>
      </c>
      <c r="CP3" s="52" t="s">
        <v>142</v>
      </c>
      <c r="CQ3" s="52" t="s">
        <v>142</v>
      </c>
      <c r="CR3" s="52" t="s">
        <v>142</v>
      </c>
      <c r="CS3" s="52" t="s">
        <v>142</v>
      </c>
      <c r="CT3" s="52" t="s">
        <v>146</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N3" s="790"/>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2</v>
      </c>
      <c r="B4" s="49">
        <v>202609</v>
      </c>
      <c r="C4" s="50" t="s">
        <v>1467</v>
      </c>
      <c r="D4" s="50" t="s">
        <v>1455</v>
      </c>
      <c r="E4" s="51">
        <v>5735</v>
      </c>
      <c r="F4" s="52" t="s">
        <v>134</v>
      </c>
      <c r="G4" s="53" t="s">
        <v>157</v>
      </c>
      <c r="H4" s="59" t="s">
        <v>1456</v>
      </c>
      <c r="I4" s="54" t="s">
        <v>1457</v>
      </c>
      <c r="J4" s="60" t="s">
        <v>1468</v>
      </c>
      <c r="K4" s="69" t="s">
        <v>1469</v>
      </c>
      <c r="L4" s="55"/>
      <c r="M4" s="56" t="s">
        <v>1470</v>
      </c>
      <c r="N4" s="57" t="s">
        <v>1471</v>
      </c>
      <c r="O4" s="78" t="s">
        <v>146</v>
      </c>
      <c r="P4" s="59" t="s">
        <v>146</v>
      </c>
      <c r="Q4" s="60" t="s">
        <v>1462</v>
      </c>
      <c r="R4" s="77" t="str">
        <f>VLOOKUP(Sheet_1_Table_1_133[[#This Row],[Learning Domain]],[14]List!$A$7:$B$12,2,0)</f>
        <v>AES</v>
      </c>
      <c r="S4" s="55">
        <v>0</v>
      </c>
      <c r="T4" s="55">
        <v>0</v>
      </c>
      <c r="U4" s="55">
        <v>0</v>
      </c>
      <c r="V4" s="55">
        <v>50</v>
      </c>
      <c r="W4" s="55">
        <v>0</v>
      </c>
      <c r="X4" s="55">
        <v>50</v>
      </c>
      <c r="Y4" s="55">
        <v>0</v>
      </c>
      <c r="Z4" s="55">
        <v>0</v>
      </c>
      <c r="AA4" s="55">
        <v>0</v>
      </c>
      <c r="AB4" s="53">
        <f>SUM(Sheet_1_Table_1_133[[#This Row],[Leadership LS]:[Career Development  CR]])</f>
        <v>100</v>
      </c>
      <c r="AC4" s="52" t="s">
        <v>199</v>
      </c>
      <c r="AD4" s="55" t="s">
        <v>190</v>
      </c>
      <c r="AE4" s="55" t="s">
        <v>142</v>
      </c>
      <c r="AF4" s="55" t="s">
        <v>146</v>
      </c>
      <c r="AG4" s="55" t="s">
        <v>142</v>
      </c>
      <c r="AH4" s="55">
        <v>8</v>
      </c>
      <c r="AI4" s="55">
        <v>30</v>
      </c>
      <c r="AJ4" s="62">
        <f>Sheet_1_Table_1_133[[#This Row],[ILP Units Per Session]]*Sheet_1_Table_1_133[[#This Row],[Quota]]</f>
        <v>240</v>
      </c>
      <c r="AK4" s="63">
        <v>46286</v>
      </c>
      <c r="AL4" s="165">
        <f>WEEKDAY(Sheet_1_Table_1_133[[#This Row],[Lesson 1 
Date 
(DD-MMM-YYYY)]])</f>
        <v>2</v>
      </c>
      <c r="AM4" s="65">
        <v>0.64583333333333337</v>
      </c>
      <c r="AN4" s="66">
        <v>0.70833333333333337</v>
      </c>
      <c r="AO4" s="67" t="s">
        <v>147</v>
      </c>
      <c r="AP4" s="63">
        <v>46293</v>
      </c>
      <c r="AQ4" s="165">
        <f>WEEKDAY(Sheet_1_Table_1_133[[#This Row],[Lesson 2
Date 
(DD-MMM-YYYY)]]
)</f>
        <v>2</v>
      </c>
      <c r="AR4" s="65">
        <v>0.64583333333333337</v>
      </c>
      <c r="AS4" s="66">
        <v>0.70833333333333337</v>
      </c>
      <c r="AT4" s="67" t="s">
        <v>147</v>
      </c>
      <c r="AU4" s="63">
        <v>46300</v>
      </c>
      <c r="AV4" s="165" t="e">
        <f>WEEKDAY([5]!Sheet_1_Table_1_13[[#This Row],[Lesson 3
Date 
(DD-MMM-YYYY)]])</f>
        <v>#REF!</v>
      </c>
      <c r="AW4" s="65">
        <v>0.64583333333333337</v>
      </c>
      <c r="AX4" s="66">
        <v>0.70833333333333337</v>
      </c>
      <c r="AY4" s="67" t="s">
        <v>147</v>
      </c>
      <c r="AZ4" s="68">
        <v>46307</v>
      </c>
      <c r="BA4" s="64" t="e">
        <f>WEEKDAY([5]!Sheet_1_Table_1_13[[#This Row],[Lesson 4
Date 
(DD-MMM-YYYY)]])</f>
        <v>#REF!</v>
      </c>
      <c r="BB4" s="65">
        <v>0.64583333333333337</v>
      </c>
      <c r="BC4" s="66">
        <v>0.70833333333333337</v>
      </c>
      <c r="BD4" s="67" t="s">
        <v>147</v>
      </c>
      <c r="BE4" s="68">
        <v>46321</v>
      </c>
      <c r="BF4" s="64" t="e">
        <f>WEEKDAY([5]!Sheet_1_Table_1_13[[#This Row],[Lesson 5
Date 
(DD-MMM-YYYY)]])</f>
        <v>#REF!</v>
      </c>
      <c r="BG4" s="65">
        <v>0.64583333333333337</v>
      </c>
      <c r="BH4" s="66">
        <v>0.70833333333333337</v>
      </c>
      <c r="BI4" s="67" t="s">
        <v>147</v>
      </c>
      <c r="BJ4" s="68">
        <v>46328</v>
      </c>
      <c r="BK4" s="64" t="e">
        <f>WEEKDAY([5]!Sheet_1_Table_1_13[[#This Row],[Lesson 6
Date 
(DD-MMM-YYYY)]])</f>
        <v>#REF!</v>
      </c>
      <c r="BL4" s="65">
        <v>0.64583333333333337</v>
      </c>
      <c r="BM4" s="66">
        <v>0.70833333333333337</v>
      </c>
      <c r="BN4" s="67" t="s">
        <v>147</v>
      </c>
      <c r="BO4" s="54" t="s">
        <v>293</v>
      </c>
      <c r="BP4" s="69" t="s">
        <v>1463</v>
      </c>
      <c r="BQ4" s="69" t="s">
        <v>487</v>
      </c>
      <c r="BR4" s="53" t="s">
        <v>1464</v>
      </c>
      <c r="BS4" s="52"/>
      <c r="BT4" s="56"/>
      <c r="BU4" s="56"/>
      <c r="BV4" s="70"/>
      <c r="BW4" s="60"/>
      <c r="BX4" s="71"/>
      <c r="BY4" s="56" t="s">
        <v>184</v>
      </c>
      <c r="BZ4" s="56"/>
      <c r="CA4" s="56" t="s">
        <v>184</v>
      </c>
      <c r="CB4" s="72"/>
      <c r="CC4" s="72"/>
      <c r="CD4" s="71"/>
      <c r="CE4" s="60" t="s">
        <v>1465</v>
      </c>
      <c r="CF4" s="164" t="s">
        <v>1466</v>
      </c>
      <c r="CG4" s="56"/>
      <c r="CH4" s="57"/>
      <c r="CI4" s="52" t="s">
        <v>146</v>
      </c>
      <c r="CJ4" s="52" t="s">
        <v>142</v>
      </c>
      <c r="CK4" s="52" t="s">
        <v>142</v>
      </c>
      <c r="CL4" s="52" t="s">
        <v>146</v>
      </c>
      <c r="CM4" s="52" t="s">
        <v>146</v>
      </c>
      <c r="CN4" s="52" t="s">
        <v>142</v>
      </c>
      <c r="CO4" s="52" t="s">
        <v>142</v>
      </c>
      <c r="CP4" s="52" t="s">
        <v>142</v>
      </c>
      <c r="CQ4" s="52" t="s">
        <v>142</v>
      </c>
      <c r="CR4" s="52" t="s">
        <v>142</v>
      </c>
      <c r="CS4" s="52" t="s">
        <v>142</v>
      </c>
      <c r="CT4" s="52" t="s">
        <v>146</v>
      </c>
      <c r="CU4" s="52" t="s">
        <v>142</v>
      </c>
      <c r="CV4" s="52" t="s">
        <v>142</v>
      </c>
      <c r="CW4" s="52" t="s">
        <v>142</v>
      </c>
      <c r="CX4" s="52" t="s">
        <v>142</v>
      </c>
      <c r="CY4" s="52" t="s">
        <v>142</v>
      </c>
      <c r="CZ4" s="59" t="s">
        <v>142</v>
      </c>
      <c r="DA4" s="54" t="s">
        <v>154</v>
      </c>
      <c r="DB4" s="50" t="s">
        <v>155</v>
      </c>
      <c r="DC4" s="50" t="s">
        <v>156</v>
      </c>
      <c r="DD4" s="50" t="s">
        <v>146</v>
      </c>
      <c r="DE4" s="50" t="s">
        <v>157</v>
      </c>
      <c r="DF4" s="50" t="s">
        <v>146</v>
      </c>
      <c r="DG4" s="73"/>
      <c r="DH4" s="73"/>
      <c r="DI4" s="74"/>
      <c r="DJ4" s="75"/>
      <c r="DK4" s="76" t="s">
        <v>146</v>
      </c>
      <c r="DL4" s="76" t="s">
        <v>146</v>
      </c>
      <c r="DM4" s="76" t="s">
        <v>146</v>
      </c>
      <c r="DN4" s="790"/>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3</v>
      </c>
      <c r="B5" s="49">
        <v>202609</v>
      </c>
      <c r="C5" s="50" t="s">
        <v>1472</v>
      </c>
      <c r="D5" s="50" t="s">
        <v>1473</v>
      </c>
      <c r="E5" s="51">
        <v>5736</v>
      </c>
      <c r="F5" s="52" t="s">
        <v>134</v>
      </c>
      <c r="G5" s="53" t="s">
        <v>157</v>
      </c>
      <c r="H5" s="59" t="s">
        <v>1456</v>
      </c>
      <c r="I5" s="54" t="s">
        <v>1457</v>
      </c>
      <c r="J5" s="60" t="s">
        <v>1474</v>
      </c>
      <c r="K5" s="69" t="s">
        <v>1475</v>
      </c>
      <c r="L5" s="55" t="s">
        <v>1476</v>
      </c>
      <c r="M5" s="56" t="s">
        <v>1477</v>
      </c>
      <c r="N5" s="57" t="s">
        <v>1478</v>
      </c>
      <c r="O5" s="78" t="s">
        <v>146</v>
      </c>
      <c r="P5" s="59" t="s">
        <v>146</v>
      </c>
      <c r="Q5" s="60" t="s">
        <v>1462</v>
      </c>
      <c r="R5" s="61" t="str">
        <f>VLOOKUP(Sheet_1_Table_1_133[[#This Row],[Learning Domain]],[14]List!$A$7:$B$12,2,0)</f>
        <v>AES</v>
      </c>
      <c r="S5" s="55">
        <v>0</v>
      </c>
      <c r="T5" s="55">
        <v>0</v>
      </c>
      <c r="U5" s="55">
        <v>0</v>
      </c>
      <c r="V5" s="55">
        <v>50</v>
      </c>
      <c r="W5" s="55">
        <v>0</v>
      </c>
      <c r="X5" s="55">
        <v>50</v>
      </c>
      <c r="Y5" s="55">
        <v>0</v>
      </c>
      <c r="Z5" s="55">
        <v>0</v>
      </c>
      <c r="AA5" s="55">
        <v>0</v>
      </c>
      <c r="AB5" s="53">
        <f>SUM(Sheet_1_Table_1_133[[#This Row],[Leadership LS]:[Career Development  CR]])</f>
        <v>100</v>
      </c>
      <c r="AC5" s="52" t="s">
        <v>199</v>
      </c>
      <c r="AD5" s="55" t="s">
        <v>190</v>
      </c>
      <c r="AE5" s="55" t="s">
        <v>142</v>
      </c>
      <c r="AF5" s="55" t="s">
        <v>146</v>
      </c>
      <c r="AG5" s="55" t="s">
        <v>142</v>
      </c>
      <c r="AH5" s="55">
        <v>8</v>
      </c>
      <c r="AI5" s="55">
        <v>24</v>
      </c>
      <c r="AJ5" s="62">
        <f>Sheet_1_Table_1_133[[#This Row],[ILP Units Per Session]]*Sheet_1_Table_1_133[[#This Row],[Quota]]</f>
        <v>192</v>
      </c>
      <c r="AK5" s="63">
        <v>46295</v>
      </c>
      <c r="AL5" s="165">
        <f>WEEKDAY(Sheet_1_Table_1_133[[#This Row],[Lesson 1 
Date 
(DD-MMM-YYYY)]])</f>
        <v>4</v>
      </c>
      <c r="AM5" s="65">
        <v>0.5625</v>
      </c>
      <c r="AN5" s="66">
        <v>0.625</v>
      </c>
      <c r="AO5" s="67" t="s">
        <v>147</v>
      </c>
      <c r="AP5" s="63">
        <v>46302</v>
      </c>
      <c r="AQ5" s="165">
        <f>WEEKDAY(Sheet_1_Table_1_133[[#This Row],[Lesson 2
Date 
(DD-MMM-YYYY)]]
)</f>
        <v>4</v>
      </c>
      <c r="AR5" s="65">
        <v>0.5625</v>
      </c>
      <c r="AS5" s="66">
        <v>0.625</v>
      </c>
      <c r="AT5" s="67" t="s">
        <v>147</v>
      </c>
      <c r="AU5" s="63">
        <v>46309</v>
      </c>
      <c r="AV5" s="165" t="e">
        <f>WEEKDAY([5]!Sheet_1_Table_1_13[[#This Row],[Lesson 3
Date 
(DD-MMM-YYYY)]])</f>
        <v>#REF!</v>
      </c>
      <c r="AW5" s="65">
        <v>0.5625</v>
      </c>
      <c r="AX5" s="66">
        <v>0.625</v>
      </c>
      <c r="AY5" s="67" t="s">
        <v>147</v>
      </c>
      <c r="AZ5" s="68">
        <v>46316</v>
      </c>
      <c r="BA5" s="64" t="e">
        <f>WEEKDAY([5]!Sheet_1_Table_1_13[[#This Row],[Lesson 4
Date 
(DD-MMM-YYYY)]])</f>
        <v>#REF!</v>
      </c>
      <c r="BB5" s="65">
        <v>0.5625</v>
      </c>
      <c r="BC5" s="66">
        <v>0.625</v>
      </c>
      <c r="BD5" s="67" t="s">
        <v>147</v>
      </c>
      <c r="BE5" s="63">
        <v>46323</v>
      </c>
      <c r="BF5" s="165" t="e">
        <f>WEEKDAY([5]!Sheet_1_Table_1_13[[#This Row],[Lesson 5
Date 
(DD-MMM-YYYY)]])</f>
        <v>#REF!</v>
      </c>
      <c r="BG5" s="65">
        <v>0.5625</v>
      </c>
      <c r="BH5" s="66">
        <v>0.625</v>
      </c>
      <c r="BI5" s="67" t="s">
        <v>147</v>
      </c>
      <c r="BJ5" s="68">
        <v>46330</v>
      </c>
      <c r="BK5" s="165" t="e">
        <f>WEEKDAY([5]!Sheet_1_Table_1_13[[#This Row],[Lesson 6
Date 
(DD-MMM-YYYY)]])</f>
        <v>#REF!</v>
      </c>
      <c r="BL5" s="65">
        <v>0.5625</v>
      </c>
      <c r="BM5" s="66">
        <v>0.625</v>
      </c>
      <c r="BN5" s="67" t="s">
        <v>147</v>
      </c>
      <c r="BO5" s="54" t="s">
        <v>293</v>
      </c>
      <c r="BP5" s="69" t="s">
        <v>1479</v>
      </c>
      <c r="BQ5" s="69" t="s">
        <v>1480</v>
      </c>
      <c r="BR5" s="53" t="s">
        <v>1481</v>
      </c>
      <c r="BS5" s="52"/>
      <c r="BT5" s="56"/>
      <c r="BU5" s="56"/>
      <c r="BV5" s="70"/>
      <c r="BW5" s="60"/>
      <c r="BX5" s="71"/>
      <c r="BY5" s="56" t="s">
        <v>184</v>
      </c>
      <c r="BZ5" s="56"/>
      <c r="CA5" s="56" t="s">
        <v>184</v>
      </c>
      <c r="CB5" s="72"/>
      <c r="CC5" s="72"/>
      <c r="CD5" s="71"/>
      <c r="CE5" s="60" t="s">
        <v>1465</v>
      </c>
      <c r="CF5" s="164" t="s">
        <v>1466</v>
      </c>
      <c r="CG5" s="56"/>
      <c r="CH5" s="57"/>
      <c r="CI5" s="52" t="s">
        <v>146</v>
      </c>
      <c r="CJ5" s="52" t="s">
        <v>142</v>
      </c>
      <c r="CK5" s="52" t="s">
        <v>142</v>
      </c>
      <c r="CL5" s="52" t="s">
        <v>146</v>
      </c>
      <c r="CM5" s="52" t="s">
        <v>146</v>
      </c>
      <c r="CN5" s="52" t="s">
        <v>142</v>
      </c>
      <c r="CO5" s="52" t="s">
        <v>142</v>
      </c>
      <c r="CP5" s="52" t="s">
        <v>142</v>
      </c>
      <c r="CQ5" s="52" t="s">
        <v>142</v>
      </c>
      <c r="CR5" s="52" t="s">
        <v>142</v>
      </c>
      <c r="CS5" s="52" t="s">
        <v>142</v>
      </c>
      <c r="CT5" s="52" t="s">
        <v>146</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N5" s="790"/>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4</v>
      </c>
      <c r="B6" s="49">
        <v>202609</v>
      </c>
      <c r="C6" s="50" t="s">
        <v>1472</v>
      </c>
      <c r="D6" s="50" t="s">
        <v>1473</v>
      </c>
      <c r="E6" s="51">
        <v>5737</v>
      </c>
      <c r="F6" s="52" t="s">
        <v>134</v>
      </c>
      <c r="G6" s="53" t="s">
        <v>157</v>
      </c>
      <c r="H6" s="59" t="s">
        <v>1456</v>
      </c>
      <c r="I6" s="54" t="s">
        <v>1457</v>
      </c>
      <c r="J6" s="60" t="s">
        <v>1474</v>
      </c>
      <c r="K6" s="69" t="s">
        <v>1475</v>
      </c>
      <c r="L6" s="55" t="s">
        <v>1482</v>
      </c>
      <c r="M6" s="56" t="s">
        <v>1477</v>
      </c>
      <c r="N6" s="57" t="s">
        <v>1478</v>
      </c>
      <c r="O6" s="78" t="s">
        <v>146</v>
      </c>
      <c r="P6" s="59" t="s">
        <v>146</v>
      </c>
      <c r="Q6" s="60" t="s">
        <v>1462</v>
      </c>
      <c r="R6" s="61" t="str">
        <f>VLOOKUP(Sheet_1_Table_1_133[[#This Row],[Learning Domain]],[14]List!$A$7:$B$12,2,0)</f>
        <v>AES</v>
      </c>
      <c r="S6" s="55">
        <v>0</v>
      </c>
      <c r="T6" s="55">
        <v>0</v>
      </c>
      <c r="U6" s="55">
        <v>0</v>
      </c>
      <c r="V6" s="55">
        <v>50</v>
      </c>
      <c r="W6" s="55">
        <v>0</v>
      </c>
      <c r="X6" s="55">
        <v>50</v>
      </c>
      <c r="Y6" s="55">
        <v>0</v>
      </c>
      <c r="Z6" s="55">
        <v>0</v>
      </c>
      <c r="AA6" s="55">
        <v>0</v>
      </c>
      <c r="AB6" s="53">
        <f>SUM(Sheet_1_Table_1_133[[#This Row],[Leadership LS]:[Career Development  CR]])</f>
        <v>100</v>
      </c>
      <c r="AC6" s="52" t="s">
        <v>199</v>
      </c>
      <c r="AD6" s="55" t="s">
        <v>190</v>
      </c>
      <c r="AE6" s="55" t="s">
        <v>142</v>
      </c>
      <c r="AF6" s="55" t="s">
        <v>146</v>
      </c>
      <c r="AG6" s="55" t="s">
        <v>142</v>
      </c>
      <c r="AH6" s="55">
        <v>8</v>
      </c>
      <c r="AI6" s="55">
        <v>24</v>
      </c>
      <c r="AJ6" s="62">
        <f>Sheet_1_Table_1_133[[#This Row],[ILP Units Per Session]]*Sheet_1_Table_1_133[[#This Row],[Quota]]</f>
        <v>192</v>
      </c>
      <c r="AK6" s="63">
        <v>46295</v>
      </c>
      <c r="AL6" s="165">
        <f>WEEKDAY(Sheet_1_Table_1_133[[#This Row],[Lesson 1 
Date 
(DD-MMM-YYYY)]])</f>
        <v>4</v>
      </c>
      <c r="AM6" s="65">
        <v>0.64583333333333337</v>
      </c>
      <c r="AN6" s="66">
        <v>0.70833333333333337</v>
      </c>
      <c r="AO6" s="67" t="s">
        <v>147</v>
      </c>
      <c r="AP6" s="63">
        <v>46302</v>
      </c>
      <c r="AQ6" s="165">
        <f>WEEKDAY(Sheet_1_Table_1_133[[#This Row],[Lesson 2
Date 
(DD-MMM-YYYY)]]
)</f>
        <v>4</v>
      </c>
      <c r="AR6" s="65">
        <v>0.64583333333333337</v>
      </c>
      <c r="AS6" s="66">
        <v>0.70833333333333337</v>
      </c>
      <c r="AT6" s="67" t="s">
        <v>147</v>
      </c>
      <c r="AU6" s="63">
        <v>46309</v>
      </c>
      <c r="AV6" s="165" t="e">
        <f>WEEKDAY([5]!Sheet_1_Table_1_13[[#This Row],[Lesson 3
Date 
(DD-MMM-YYYY)]])</f>
        <v>#REF!</v>
      </c>
      <c r="AW6" s="65">
        <v>0.64583333333333337</v>
      </c>
      <c r="AX6" s="66">
        <v>0.70833333333333337</v>
      </c>
      <c r="AY6" s="67" t="s">
        <v>147</v>
      </c>
      <c r="AZ6" s="68">
        <v>46316</v>
      </c>
      <c r="BA6" s="64" t="e">
        <f>WEEKDAY([5]!Sheet_1_Table_1_13[[#This Row],[Lesson 4
Date 
(DD-MMM-YYYY)]])</f>
        <v>#REF!</v>
      </c>
      <c r="BB6" s="65">
        <v>0.64583333333333337</v>
      </c>
      <c r="BC6" s="66">
        <v>0.70833333333333337</v>
      </c>
      <c r="BD6" s="67" t="s">
        <v>147</v>
      </c>
      <c r="BE6" s="63">
        <v>46323</v>
      </c>
      <c r="BF6" s="165" t="e">
        <f>WEEKDAY([5]!Sheet_1_Table_1_13[[#This Row],[Lesson 5
Date 
(DD-MMM-YYYY)]])</f>
        <v>#REF!</v>
      </c>
      <c r="BG6" s="65">
        <v>0.64583333333333337</v>
      </c>
      <c r="BH6" s="66">
        <v>0.70833333333333337</v>
      </c>
      <c r="BI6" s="67" t="s">
        <v>147</v>
      </c>
      <c r="BJ6" s="68">
        <v>46330</v>
      </c>
      <c r="BK6" s="165" t="e">
        <f>WEEKDAY([5]!Sheet_1_Table_1_13[[#This Row],[Lesson 6
Date 
(DD-MMM-YYYY)]])</f>
        <v>#REF!</v>
      </c>
      <c r="BL6" s="65">
        <v>0.64583333333333337</v>
      </c>
      <c r="BM6" s="66">
        <v>0.70833333333333337</v>
      </c>
      <c r="BN6" s="67" t="s">
        <v>147</v>
      </c>
      <c r="BO6" s="54" t="s">
        <v>293</v>
      </c>
      <c r="BP6" s="69" t="s">
        <v>1483</v>
      </c>
      <c r="BQ6" s="69" t="s">
        <v>1264</v>
      </c>
      <c r="BR6" s="53" t="s">
        <v>1481</v>
      </c>
      <c r="BS6" s="52"/>
      <c r="BT6" s="56"/>
      <c r="BU6" s="56"/>
      <c r="BV6" s="70"/>
      <c r="BW6" s="60"/>
      <c r="BX6" s="71"/>
      <c r="BY6" s="56" t="s">
        <v>149</v>
      </c>
      <c r="BZ6" s="56"/>
      <c r="CA6" s="56" t="s">
        <v>149</v>
      </c>
      <c r="CB6" s="72"/>
      <c r="CC6" s="72"/>
      <c r="CD6" s="71"/>
      <c r="CE6" s="60" t="s">
        <v>1465</v>
      </c>
      <c r="CF6" s="164" t="s">
        <v>1466</v>
      </c>
      <c r="CG6" s="56"/>
      <c r="CH6" s="57"/>
      <c r="CI6" s="52" t="s">
        <v>146</v>
      </c>
      <c r="CJ6" s="52" t="s">
        <v>142</v>
      </c>
      <c r="CK6" s="52" t="s">
        <v>142</v>
      </c>
      <c r="CL6" s="52" t="s">
        <v>146</v>
      </c>
      <c r="CM6" s="52" t="s">
        <v>146</v>
      </c>
      <c r="CN6" s="52" t="s">
        <v>142</v>
      </c>
      <c r="CO6" s="52" t="s">
        <v>142</v>
      </c>
      <c r="CP6" s="52" t="s">
        <v>142</v>
      </c>
      <c r="CQ6" s="52" t="s">
        <v>142</v>
      </c>
      <c r="CR6" s="52" t="s">
        <v>142</v>
      </c>
      <c r="CS6" s="52" t="s">
        <v>142</v>
      </c>
      <c r="CT6" s="52" t="s">
        <v>146</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N6" s="790"/>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5</v>
      </c>
      <c r="B7" s="49">
        <v>202609</v>
      </c>
      <c r="C7" s="50" t="s">
        <v>1484</v>
      </c>
      <c r="D7" s="50" t="s">
        <v>174</v>
      </c>
      <c r="E7" s="51">
        <v>5738</v>
      </c>
      <c r="F7" s="52" t="s">
        <v>134</v>
      </c>
      <c r="G7" s="53" t="s">
        <v>157</v>
      </c>
      <c r="H7" s="59" t="s">
        <v>1485</v>
      </c>
      <c r="I7" s="54" t="s">
        <v>1486</v>
      </c>
      <c r="J7" s="60" t="s">
        <v>1487</v>
      </c>
      <c r="K7" s="69" t="s">
        <v>1488</v>
      </c>
      <c r="L7" s="55"/>
      <c r="M7" s="56" t="s">
        <v>1489</v>
      </c>
      <c r="N7" s="57" t="s">
        <v>1490</v>
      </c>
      <c r="O7" s="78" t="s">
        <v>146</v>
      </c>
      <c r="P7" s="59" t="s">
        <v>146</v>
      </c>
      <c r="Q7" s="60" t="s">
        <v>1462</v>
      </c>
      <c r="R7" s="77" t="str">
        <f>VLOOKUP(Sheet_1_Table_1_133[[#This Row],[Learning Domain]],[14]List!$A$7:$B$12,2,0)</f>
        <v>AES</v>
      </c>
      <c r="S7" s="55">
        <v>50</v>
      </c>
      <c r="T7" s="55">
        <v>0</v>
      </c>
      <c r="U7" s="55">
        <v>0</v>
      </c>
      <c r="V7" s="55">
        <v>0</v>
      </c>
      <c r="W7" s="55">
        <v>0</v>
      </c>
      <c r="X7" s="55">
        <v>0</v>
      </c>
      <c r="Y7" s="55">
        <v>0</v>
      </c>
      <c r="Z7" s="55">
        <v>0</v>
      </c>
      <c r="AA7" s="55">
        <v>50</v>
      </c>
      <c r="AB7" s="53">
        <f>SUM(Sheet_1_Table_1_133[[#This Row],[Leadership LS]:[Career Development  CR]])</f>
        <v>100</v>
      </c>
      <c r="AC7" s="52" t="s">
        <v>144</v>
      </c>
      <c r="AD7" s="55" t="s">
        <v>190</v>
      </c>
      <c r="AE7" s="55" t="s">
        <v>146</v>
      </c>
      <c r="AF7" s="55" t="s">
        <v>142</v>
      </c>
      <c r="AG7" s="55" t="s">
        <v>142</v>
      </c>
      <c r="AH7" s="55">
        <v>2</v>
      </c>
      <c r="AI7" s="55">
        <v>100</v>
      </c>
      <c r="AJ7" s="62">
        <f>Sheet_1_Table_1_133[[#This Row],[ILP Units Per Session]]*Sheet_1_Table_1_133[[#This Row],[Quota]]</f>
        <v>200</v>
      </c>
      <c r="AK7" s="63">
        <v>46301</v>
      </c>
      <c r="AL7" s="64">
        <f>WEEKDAY(Sheet_1_Table_1_133[[#This Row],[Lesson 1 
Date 
(DD-MMM-YYYY)]])</f>
        <v>3</v>
      </c>
      <c r="AM7" s="65">
        <v>0.5625</v>
      </c>
      <c r="AN7" s="66">
        <v>0.64583333333333337</v>
      </c>
      <c r="AO7" s="67" t="s">
        <v>1301</v>
      </c>
      <c r="AP7" s="68"/>
      <c r="AQ7" s="64">
        <f>WEEKDAY(Sheet_1_Table_1_133[[#This Row],[Lesson 2
Date 
(DD-MMM-YYYY)]]
)</f>
        <v>7</v>
      </c>
      <c r="AR7" s="65"/>
      <c r="AS7" s="66"/>
      <c r="AT7" s="66"/>
      <c r="AU7" s="63"/>
      <c r="AV7" s="64" t="e">
        <f>WEEKDAY([5]!Sheet_1_Table_1_13[[#This Row],[Lesson 3
Date 
(DD-MMM-YYYY)]])</f>
        <v>#REF!</v>
      </c>
      <c r="AW7" s="65"/>
      <c r="AX7" s="66"/>
      <c r="AY7" s="67"/>
      <c r="AZ7" s="68"/>
      <c r="BA7" s="64" t="e">
        <f>WEEKDAY([5]!Sheet_1_Table_1_13[[#This Row],[Lesson 4
Date 
(DD-MMM-YYYY)]])</f>
        <v>#REF!</v>
      </c>
      <c r="BB7" s="65"/>
      <c r="BC7" s="66"/>
      <c r="BD7" s="66"/>
      <c r="BE7" s="63"/>
      <c r="BF7" s="64" t="e">
        <f>WEEKDAY([5]!Sheet_1_Table_1_13[[#This Row],[Lesson 5
Date 
(DD-MMM-YYYY)]])</f>
        <v>#REF!</v>
      </c>
      <c r="BG7" s="65"/>
      <c r="BH7" s="66"/>
      <c r="BI7" s="67"/>
      <c r="BJ7" s="68"/>
      <c r="BK7" s="64" t="e">
        <f>WEEKDAY([5]!Sheet_1_Table_1_13[[#This Row],[Lesson 6
Date 
(DD-MMM-YYYY)]])</f>
        <v>#REF!</v>
      </c>
      <c r="BL7" s="65"/>
      <c r="BM7" s="66"/>
      <c r="BN7" s="66"/>
      <c r="BO7" s="54" t="s">
        <v>163</v>
      </c>
      <c r="BP7" s="69" t="s">
        <v>1491</v>
      </c>
      <c r="BQ7" s="69" t="s">
        <v>1264</v>
      </c>
      <c r="BR7" s="137" t="s">
        <v>1492</v>
      </c>
      <c r="BS7" s="52"/>
      <c r="BT7" s="56"/>
      <c r="BU7" s="56"/>
      <c r="BV7" s="70"/>
      <c r="BW7" s="60"/>
      <c r="BX7" s="71"/>
      <c r="BY7" s="56" t="s">
        <v>184</v>
      </c>
      <c r="BZ7" s="56"/>
      <c r="CA7" s="56" t="s">
        <v>184</v>
      </c>
      <c r="CB7" s="72"/>
      <c r="CC7" s="72"/>
      <c r="CD7" s="71"/>
      <c r="CE7" s="60" t="s">
        <v>1465</v>
      </c>
      <c r="CF7" s="164" t="s">
        <v>1466</v>
      </c>
      <c r="CG7" s="56"/>
      <c r="CH7" s="57"/>
      <c r="CI7" s="52" t="s">
        <v>146</v>
      </c>
      <c r="CJ7" s="52" t="s">
        <v>142</v>
      </c>
      <c r="CK7" s="52" t="s">
        <v>142</v>
      </c>
      <c r="CL7" s="52" t="s">
        <v>142</v>
      </c>
      <c r="CM7" s="52" t="s">
        <v>146</v>
      </c>
      <c r="CN7" s="52" t="s">
        <v>142</v>
      </c>
      <c r="CO7" s="52" t="s">
        <v>142</v>
      </c>
      <c r="CP7" s="52" t="s">
        <v>142</v>
      </c>
      <c r="CQ7" s="52" t="s">
        <v>142</v>
      </c>
      <c r="CR7" s="52" t="s">
        <v>142</v>
      </c>
      <c r="CS7" s="52" t="s">
        <v>142</v>
      </c>
      <c r="CT7" s="52" t="s">
        <v>146</v>
      </c>
      <c r="CU7" s="52" t="s">
        <v>142</v>
      </c>
      <c r="CV7" s="52" t="s">
        <v>142</v>
      </c>
      <c r="CW7" s="52" t="s">
        <v>142</v>
      </c>
      <c r="CX7" s="52" t="s">
        <v>142</v>
      </c>
      <c r="CY7" s="52" t="s">
        <v>142</v>
      </c>
      <c r="CZ7" s="59" t="s">
        <v>142</v>
      </c>
      <c r="DA7" s="54" t="s">
        <v>154</v>
      </c>
      <c r="DB7" s="50" t="s">
        <v>155</v>
      </c>
      <c r="DC7" s="50" t="s">
        <v>156</v>
      </c>
      <c r="DD7" s="50" t="s">
        <v>146</v>
      </c>
      <c r="DE7" s="50" t="s">
        <v>157</v>
      </c>
      <c r="DF7" s="50" t="s">
        <v>146</v>
      </c>
      <c r="DG7" s="73"/>
      <c r="DH7" s="73"/>
      <c r="DI7" s="74"/>
      <c r="DJ7" s="75"/>
      <c r="DK7" s="76" t="s">
        <v>146</v>
      </c>
      <c r="DL7" s="76" t="s">
        <v>146</v>
      </c>
      <c r="DM7" s="76" t="s">
        <v>146</v>
      </c>
      <c r="DN7" s="790"/>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1493</v>
      </c>
      <c r="D8" s="50" t="s">
        <v>174</v>
      </c>
      <c r="E8" s="51">
        <v>5739</v>
      </c>
      <c r="F8" s="52" t="s">
        <v>134</v>
      </c>
      <c r="G8" s="53" t="s">
        <v>157</v>
      </c>
      <c r="H8" s="59" t="s">
        <v>1485</v>
      </c>
      <c r="I8" s="54" t="s">
        <v>1486</v>
      </c>
      <c r="J8" s="60" t="s">
        <v>1494</v>
      </c>
      <c r="K8" s="69" t="s">
        <v>1495</v>
      </c>
      <c r="L8" s="55"/>
      <c r="M8" s="56" t="s">
        <v>1496</v>
      </c>
      <c r="N8" s="57" t="s">
        <v>1497</v>
      </c>
      <c r="O8" s="78" t="s">
        <v>146</v>
      </c>
      <c r="P8" s="59" t="s">
        <v>146</v>
      </c>
      <c r="Q8" s="60" t="s">
        <v>1462</v>
      </c>
      <c r="R8" s="61" t="str">
        <f>VLOOKUP(Sheet_1_Table_1_133[[#This Row],[Learning Domain]],[14]List!$A$7:$B$12,2,0)</f>
        <v>AES</v>
      </c>
      <c r="S8" s="55">
        <v>50</v>
      </c>
      <c r="T8" s="55">
        <v>0</v>
      </c>
      <c r="U8" s="55">
        <v>0</v>
      </c>
      <c r="V8" s="55">
        <v>0</v>
      </c>
      <c r="W8" s="55">
        <v>0</v>
      </c>
      <c r="X8" s="55">
        <v>0</v>
      </c>
      <c r="Y8" s="55">
        <v>0</v>
      </c>
      <c r="Z8" s="55">
        <v>0</v>
      </c>
      <c r="AA8" s="55">
        <v>50</v>
      </c>
      <c r="AB8" s="53">
        <f>SUM(Sheet_1_Table_1_133[[#This Row],[Leadership LS]:[Career Development  CR]])</f>
        <v>100</v>
      </c>
      <c r="AC8" s="52" t="s">
        <v>199</v>
      </c>
      <c r="AD8" s="55" t="s">
        <v>190</v>
      </c>
      <c r="AE8" s="55" t="s">
        <v>146</v>
      </c>
      <c r="AF8" s="55" t="s">
        <v>142</v>
      </c>
      <c r="AG8" s="55" t="s">
        <v>142</v>
      </c>
      <c r="AH8" s="55">
        <v>2</v>
      </c>
      <c r="AI8" s="55">
        <v>30</v>
      </c>
      <c r="AJ8" s="62">
        <f>Sheet_1_Table_1_133[[#This Row],[ILP Units Per Session]]*Sheet_1_Table_1_133[[#This Row],[Quota]]</f>
        <v>60</v>
      </c>
      <c r="AK8" s="63">
        <v>46303</v>
      </c>
      <c r="AL8" s="64">
        <f>WEEKDAY(Sheet_1_Table_1_133[[#This Row],[Lesson 1 
Date 
(DD-MMM-YYYY)]])</f>
        <v>5</v>
      </c>
      <c r="AM8" s="65">
        <v>0.5625</v>
      </c>
      <c r="AN8" s="66">
        <v>0.64583333333333337</v>
      </c>
      <c r="AO8" s="771" t="s">
        <v>460</v>
      </c>
      <c r="AP8" s="68"/>
      <c r="AQ8" s="64">
        <f>WEEKDAY(Sheet_1_Table_1_133[[#This Row],[Lesson 2
Date 
(DD-MMM-YYYY)]]
)</f>
        <v>7</v>
      </c>
      <c r="AR8" s="65"/>
      <c r="AS8" s="66"/>
      <c r="AT8" s="66"/>
      <c r="AU8" s="63"/>
      <c r="AV8" s="64" t="e">
        <f>WEEKDAY([5]!Sheet_1_Table_1_13[[#This Row],[Lesson 3
Date 
(DD-MMM-YYYY)]])</f>
        <v>#REF!</v>
      </c>
      <c r="AW8" s="65"/>
      <c r="AX8" s="66"/>
      <c r="AY8" s="67"/>
      <c r="AZ8" s="68"/>
      <c r="BA8" s="64" t="e">
        <f>WEEKDAY([5]!Sheet_1_Table_1_13[[#This Row],[Lesson 4
Date 
(DD-MMM-YYYY)]])</f>
        <v>#REF!</v>
      </c>
      <c r="BB8" s="65"/>
      <c r="BC8" s="66"/>
      <c r="BD8" s="66"/>
      <c r="BE8" s="63"/>
      <c r="BF8" s="64" t="e">
        <f>WEEKDAY([5]!Sheet_1_Table_1_13[[#This Row],[Lesson 5
Date 
(DD-MMM-YYYY)]])</f>
        <v>#REF!</v>
      </c>
      <c r="BG8" s="65"/>
      <c r="BH8" s="66"/>
      <c r="BI8" s="67"/>
      <c r="BJ8" s="68"/>
      <c r="BK8" s="64" t="e">
        <f>WEEKDAY([5]!Sheet_1_Table_1_13[[#This Row],[Lesson 6
Date 
(DD-MMM-YYYY)]])</f>
        <v>#REF!</v>
      </c>
      <c r="BL8" s="65"/>
      <c r="BM8" s="66"/>
      <c r="BN8" s="66"/>
      <c r="BO8" s="54" t="s">
        <v>163</v>
      </c>
      <c r="BP8" s="69" t="s">
        <v>1491</v>
      </c>
      <c r="BQ8" s="69" t="s">
        <v>1264</v>
      </c>
      <c r="BR8" s="137" t="s">
        <v>1492</v>
      </c>
      <c r="BS8" s="52"/>
      <c r="BT8" s="56"/>
      <c r="BU8" s="56"/>
      <c r="BV8" s="70"/>
      <c r="BW8" s="60"/>
      <c r="BX8" s="71"/>
      <c r="BY8" s="56" t="s">
        <v>149</v>
      </c>
      <c r="BZ8" s="56"/>
      <c r="CA8" s="56" t="s">
        <v>149</v>
      </c>
      <c r="CB8" s="72"/>
      <c r="CC8" s="72"/>
      <c r="CD8" s="71"/>
      <c r="CE8" s="60" t="s">
        <v>1465</v>
      </c>
      <c r="CF8" s="164" t="s">
        <v>1466</v>
      </c>
      <c r="CG8" s="56"/>
      <c r="CH8" s="57"/>
      <c r="CI8" s="52" t="s">
        <v>146</v>
      </c>
      <c r="CJ8" s="52" t="s">
        <v>142</v>
      </c>
      <c r="CK8" s="52" t="s">
        <v>142</v>
      </c>
      <c r="CL8" s="52" t="s">
        <v>142</v>
      </c>
      <c r="CM8" s="52" t="s">
        <v>146</v>
      </c>
      <c r="CN8" s="52" t="s">
        <v>142</v>
      </c>
      <c r="CO8" s="52" t="s">
        <v>142</v>
      </c>
      <c r="CP8" s="52" t="s">
        <v>142</v>
      </c>
      <c r="CQ8" s="52" t="s">
        <v>142</v>
      </c>
      <c r="CR8" s="52" t="s">
        <v>142</v>
      </c>
      <c r="CS8" s="52" t="s">
        <v>142</v>
      </c>
      <c r="CT8" s="52" t="s">
        <v>146</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N8" s="790"/>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7</v>
      </c>
      <c r="B9" s="49">
        <v>202609</v>
      </c>
      <c r="C9" s="50" t="s">
        <v>1498</v>
      </c>
      <c r="D9" s="50" t="s">
        <v>174</v>
      </c>
      <c r="E9" s="51">
        <v>5740</v>
      </c>
      <c r="F9" s="52" t="s">
        <v>134</v>
      </c>
      <c r="G9" s="53" t="s">
        <v>157</v>
      </c>
      <c r="H9" s="59" t="s">
        <v>1485</v>
      </c>
      <c r="I9" s="54" t="s">
        <v>1486</v>
      </c>
      <c r="J9" s="60" t="s">
        <v>1499</v>
      </c>
      <c r="K9" s="69" t="s">
        <v>1500</v>
      </c>
      <c r="L9" s="55"/>
      <c r="M9" s="56" t="s">
        <v>1501</v>
      </c>
      <c r="N9" s="57" t="s">
        <v>1502</v>
      </c>
      <c r="O9" s="78" t="s">
        <v>146</v>
      </c>
      <c r="P9" s="59" t="s">
        <v>146</v>
      </c>
      <c r="Q9" s="60" t="s">
        <v>1462</v>
      </c>
      <c r="R9" s="77" t="str">
        <f>VLOOKUP(Sheet_1_Table_1_133[[#This Row],[Learning Domain]],[14]List!$A$7:$B$12,2,0)</f>
        <v>AES</v>
      </c>
      <c r="S9" s="55">
        <v>50</v>
      </c>
      <c r="T9" s="55">
        <v>0</v>
      </c>
      <c r="U9" s="55">
        <v>0</v>
      </c>
      <c r="V9" s="55">
        <v>0</v>
      </c>
      <c r="W9" s="55">
        <v>0</v>
      </c>
      <c r="X9" s="55">
        <v>0</v>
      </c>
      <c r="Y9" s="55">
        <v>0</v>
      </c>
      <c r="Z9" s="55">
        <v>0</v>
      </c>
      <c r="AA9" s="55">
        <v>50</v>
      </c>
      <c r="AB9" s="53">
        <f>SUM(Sheet_1_Table_1_133[[#This Row],[Leadership LS]:[Career Development  CR]])</f>
        <v>100</v>
      </c>
      <c r="AC9" s="52" t="s">
        <v>144</v>
      </c>
      <c r="AD9" s="55" t="s">
        <v>190</v>
      </c>
      <c r="AE9" s="55" t="s">
        <v>142</v>
      </c>
      <c r="AF9" s="55" t="s">
        <v>146</v>
      </c>
      <c r="AG9" s="55" t="s">
        <v>146</v>
      </c>
      <c r="AH9" s="55">
        <v>2</v>
      </c>
      <c r="AI9" s="55">
        <v>100</v>
      </c>
      <c r="AJ9" s="62">
        <f>Sheet_1_Table_1_133[[#This Row],[ILP Units Per Session]]*Sheet_1_Table_1_133[[#This Row],[Quota]]</f>
        <v>200</v>
      </c>
      <c r="AK9" s="63">
        <v>46308</v>
      </c>
      <c r="AL9" s="64">
        <f>WEEKDAY(Sheet_1_Table_1_133[[#This Row],[Lesson 1 
Date 
(DD-MMM-YYYY)]])</f>
        <v>3</v>
      </c>
      <c r="AM9" s="65">
        <v>0.5625</v>
      </c>
      <c r="AN9" s="66">
        <v>0.64583333333333337</v>
      </c>
      <c r="AO9" s="67" t="s">
        <v>1301</v>
      </c>
      <c r="AP9" s="68"/>
      <c r="AQ9" s="64">
        <f>WEEKDAY(Sheet_1_Table_1_133[[#This Row],[Lesson 2
Date 
(DD-MMM-YYYY)]]
)</f>
        <v>7</v>
      </c>
      <c r="AR9" s="65"/>
      <c r="AS9" s="66"/>
      <c r="AT9" s="66"/>
      <c r="AU9" s="63"/>
      <c r="AV9" s="64" t="e">
        <f>WEEKDAY([5]!Sheet_1_Table_1_13[[#This Row],[Lesson 3
Date 
(DD-MMM-YYYY)]])</f>
        <v>#REF!</v>
      </c>
      <c r="AW9" s="65"/>
      <c r="AX9" s="66"/>
      <c r="AY9" s="67"/>
      <c r="AZ9" s="68"/>
      <c r="BA9" s="64" t="e">
        <f>WEEKDAY([5]!Sheet_1_Table_1_13[[#This Row],[Lesson 4
Date 
(DD-MMM-YYYY)]])</f>
        <v>#REF!</v>
      </c>
      <c r="BB9" s="65"/>
      <c r="BC9" s="66"/>
      <c r="BD9" s="66"/>
      <c r="BE9" s="63"/>
      <c r="BF9" s="64" t="e">
        <f>WEEKDAY([5]!Sheet_1_Table_1_13[[#This Row],[Lesson 5
Date 
(DD-MMM-YYYY)]])</f>
        <v>#REF!</v>
      </c>
      <c r="BG9" s="65"/>
      <c r="BH9" s="66"/>
      <c r="BI9" s="67"/>
      <c r="BJ9" s="68"/>
      <c r="BK9" s="64" t="e">
        <f>WEEKDAY([5]!Sheet_1_Table_1_13[[#This Row],[Lesson 6
Date 
(DD-MMM-YYYY)]])</f>
        <v>#REF!</v>
      </c>
      <c r="BL9" s="65"/>
      <c r="BM9" s="66"/>
      <c r="BN9" s="66"/>
      <c r="BO9" s="54" t="s">
        <v>293</v>
      </c>
      <c r="BP9" s="69" t="s">
        <v>1503</v>
      </c>
      <c r="BQ9" s="69" t="s">
        <v>402</v>
      </c>
      <c r="BR9" s="137" t="s">
        <v>1504</v>
      </c>
      <c r="BS9" s="52"/>
      <c r="BT9" s="56"/>
      <c r="BU9" s="56"/>
      <c r="BV9" s="70"/>
      <c r="BW9" s="60"/>
      <c r="BX9" s="71"/>
      <c r="BY9" s="56"/>
      <c r="BZ9" s="56"/>
      <c r="CA9" s="56"/>
      <c r="CB9" s="72"/>
      <c r="CC9" s="72"/>
      <c r="CD9" s="71"/>
      <c r="CE9" s="60" t="s">
        <v>1465</v>
      </c>
      <c r="CF9" s="164" t="s">
        <v>1466</v>
      </c>
      <c r="CG9" s="56"/>
      <c r="CH9" s="57"/>
      <c r="CI9" s="52" t="s">
        <v>146</v>
      </c>
      <c r="CJ9" s="52" t="s">
        <v>142</v>
      </c>
      <c r="CK9" s="52" t="s">
        <v>142</v>
      </c>
      <c r="CL9" s="52" t="s">
        <v>142</v>
      </c>
      <c r="CM9" s="52" t="s">
        <v>146</v>
      </c>
      <c r="CN9" s="52" t="s">
        <v>142</v>
      </c>
      <c r="CO9" s="52" t="s">
        <v>142</v>
      </c>
      <c r="CP9" s="52" t="s">
        <v>142</v>
      </c>
      <c r="CQ9" s="52" t="s">
        <v>142</v>
      </c>
      <c r="CR9" s="52" t="s">
        <v>142</v>
      </c>
      <c r="CS9" s="52" t="s">
        <v>142</v>
      </c>
      <c r="CT9" s="52" t="s">
        <v>146</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N9" s="790"/>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8</v>
      </c>
      <c r="B10" s="49">
        <v>202609</v>
      </c>
      <c r="C10" s="50" t="s">
        <v>1505</v>
      </c>
      <c r="D10" s="50" t="s">
        <v>174</v>
      </c>
      <c r="E10" s="51">
        <v>5741</v>
      </c>
      <c r="F10" s="52" t="s">
        <v>134</v>
      </c>
      <c r="G10" s="53" t="s">
        <v>157</v>
      </c>
      <c r="H10" s="59" t="s">
        <v>1485</v>
      </c>
      <c r="I10" s="54" t="s">
        <v>1486</v>
      </c>
      <c r="J10" s="60" t="s">
        <v>1506</v>
      </c>
      <c r="K10" s="69" t="s">
        <v>1507</v>
      </c>
      <c r="L10" s="55"/>
      <c r="M10" s="56" t="s">
        <v>1508</v>
      </c>
      <c r="N10" s="57" t="s">
        <v>1509</v>
      </c>
      <c r="O10" s="78" t="s">
        <v>146</v>
      </c>
      <c r="P10" s="59" t="s">
        <v>146</v>
      </c>
      <c r="Q10" s="60" t="s">
        <v>1462</v>
      </c>
      <c r="R10" s="61" t="str">
        <f>VLOOKUP(Sheet_1_Table_1_133[[#This Row],[Learning Domain]],[14]List!$A$7:$B$12,2,0)</f>
        <v>AES</v>
      </c>
      <c r="S10" s="55">
        <v>50</v>
      </c>
      <c r="T10" s="55">
        <v>0</v>
      </c>
      <c r="U10" s="55">
        <v>0</v>
      </c>
      <c r="V10" s="55">
        <v>0</v>
      </c>
      <c r="W10" s="55">
        <v>0</v>
      </c>
      <c r="X10" s="55">
        <v>0</v>
      </c>
      <c r="Y10" s="55">
        <v>0</v>
      </c>
      <c r="Z10" s="55">
        <v>0</v>
      </c>
      <c r="AA10" s="55">
        <v>50</v>
      </c>
      <c r="AB10" s="53">
        <f>SUM(Sheet_1_Table_1_133[[#This Row],[Leadership LS]:[Career Development  CR]])</f>
        <v>100</v>
      </c>
      <c r="AC10" s="52" t="s">
        <v>199</v>
      </c>
      <c r="AD10" s="55" t="s">
        <v>190</v>
      </c>
      <c r="AE10" s="55" t="s">
        <v>142</v>
      </c>
      <c r="AF10" s="55" t="s">
        <v>146</v>
      </c>
      <c r="AG10" s="55" t="s">
        <v>146</v>
      </c>
      <c r="AH10" s="55">
        <v>2</v>
      </c>
      <c r="AI10" s="55">
        <v>30</v>
      </c>
      <c r="AJ10" s="62">
        <f>Sheet_1_Table_1_133[[#This Row],[ILP Units Per Session]]*Sheet_1_Table_1_133[[#This Row],[Quota]]</f>
        <v>60</v>
      </c>
      <c r="AK10" s="63">
        <v>46310</v>
      </c>
      <c r="AL10" s="64">
        <f>WEEKDAY(Sheet_1_Table_1_133[[#This Row],[Lesson 1 
Date 
(DD-MMM-YYYY)]])</f>
        <v>5</v>
      </c>
      <c r="AM10" s="65">
        <v>0.5625</v>
      </c>
      <c r="AN10" s="66">
        <v>0.64583333333333337</v>
      </c>
      <c r="AO10" s="67" t="s">
        <v>1510</v>
      </c>
      <c r="AP10" s="68"/>
      <c r="AQ10" s="64">
        <f>WEEKDAY(Sheet_1_Table_1_133[[#This Row],[Lesson 2
Date 
(DD-MMM-YYYY)]]
)</f>
        <v>7</v>
      </c>
      <c r="AR10" s="65"/>
      <c r="AS10" s="66"/>
      <c r="AT10" s="66"/>
      <c r="AU10" s="63"/>
      <c r="AV10" s="64" t="e">
        <f>WEEKDAY([5]!Sheet_1_Table_1_13[[#This Row],[Lesson 3
Date 
(DD-MMM-YYYY)]])</f>
        <v>#REF!</v>
      </c>
      <c r="AW10" s="65"/>
      <c r="AX10" s="66"/>
      <c r="AY10" s="67"/>
      <c r="AZ10" s="68"/>
      <c r="BA10" s="64" t="e">
        <f>WEEKDAY([5]!Sheet_1_Table_1_13[[#This Row],[Lesson 4
Date 
(DD-MMM-YYYY)]])</f>
        <v>#REF!</v>
      </c>
      <c r="BB10" s="65"/>
      <c r="BC10" s="66"/>
      <c r="BD10" s="66"/>
      <c r="BE10" s="63"/>
      <c r="BF10" s="64" t="e">
        <f>WEEKDAY([5]!Sheet_1_Table_1_13[[#This Row],[Lesson 5
Date 
(DD-MMM-YYYY)]])</f>
        <v>#REF!</v>
      </c>
      <c r="BG10" s="65"/>
      <c r="BH10" s="66"/>
      <c r="BI10" s="67"/>
      <c r="BJ10" s="68"/>
      <c r="BK10" s="64" t="e">
        <f>WEEKDAY([5]!Sheet_1_Table_1_13[[#This Row],[Lesson 6
Date 
(DD-MMM-YYYY)]])</f>
        <v>#REF!</v>
      </c>
      <c r="BL10" s="65"/>
      <c r="BM10" s="66"/>
      <c r="BN10" s="66"/>
      <c r="BO10" s="54" t="s">
        <v>293</v>
      </c>
      <c r="BP10" s="69" t="s">
        <v>1503</v>
      </c>
      <c r="BQ10" s="69" t="s">
        <v>402</v>
      </c>
      <c r="BR10" s="137" t="s">
        <v>1504</v>
      </c>
      <c r="BS10" s="52"/>
      <c r="BT10" s="56"/>
      <c r="BU10" s="56"/>
      <c r="BV10" s="70"/>
      <c r="BW10" s="60"/>
      <c r="BX10" s="71"/>
      <c r="BY10" s="56"/>
      <c r="BZ10" s="56"/>
      <c r="CA10" s="56"/>
      <c r="CB10" s="72"/>
      <c r="CC10" s="72"/>
      <c r="CD10" s="71"/>
      <c r="CE10" s="60" t="s">
        <v>1465</v>
      </c>
      <c r="CF10" s="164" t="s">
        <v>1466</v>
      </c>
      <c r="CG10" s="56"/>
      <c r="CH10" s="57"/>
      <c r="CI10" s="52" t="s">
        <v>1511</v>
      </c>
      <c r="CJ10" s="52" t="s">
        <v>142</v>
      </c>
      <c r="CK10" s="52" t="s">
        <v>142</v>
      </c>
      <c r="CL10" s="52" t="s">
        <v>142</v>
      </c>
      <c r="CM10" s="52" t="s">
        <v>146</v>
      </c>
      <c r="CN10" s="52" t="s">
        <v>142</v>
      </c>
      <c r="CO10" s="52" t="s">
        <v>142</v>
      </c>
      <c r="CP10" s="52" t="s">
        <v>142</v>
      </c>
      <c r="CQ10" s="52" t="s">
        <v>142</v>
      </c>
      <c r="CR10" s="52" t="s">
        <v>142</v>
      </c>
      <c r="CS10" s="52" t="s">
        <v>142</v>
      </c>
      <c r="CT10" s="52" t="s">
        <v>146</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N10" s="790"/>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9</v>
      </c>
      <c r="B11" s="49">
        <v>202609</v>
      </c>
      <c r="C11" s="50" t="s">
        <v>1512</v>
      </c>
      <c r="D11" s="50" t="s">
        <v>174</v>
      </c>
      <c r="E11" s="51">
        <v>5742</v>
      </c>
      <c r="F11" s="52" t="s">
        <v>134</v>
      </c>
      <c r="G11" s="53" t="s">
        <v>157</v>
      </c>
      <c r="H11" s="59" t="s">
        <v>1513</v>
      </c>
      <c r="I11" s="54" t="s">
        <v>1514</v>
      </c>
      <c r="J11" s="60" t="s">
        <v>1515</v>
      </c>
      <c r="K11" s="69" t="s">
        <v>1516</v>
      </c>
      <c r="L11" s="55"/>
      <c r="M11" s="56" t="s">
        <v>1517</v>
      </c>
      <c r="N11" s="57" t="s">
        <v>1518</v>
      </c>
      <c r="O11" s="78" t="s">
        <v>146</v>
      </c>
      <c r="P11" s="59" t="s">
        <v>146</v>
      </c>
      <c r="Q11" s="60" t="s">
        <v>1462</v>
      </c>
      <c r="R11" s="77" t="str">
        <f>VLOOKUP(Sheet_1_Table_1_133[[#This Row],[Learning Domain]],[14]List!$A$7:$B$12,2,0)</f>
        <v>AES</v>
      </c>
      <c r="S11" s="55">
        <v>0</v>
      </c>
      <c r="T11" s="55">
        <v>0</v>
      </c>
      <c r="U11" s="55">
        <v>0</v>
      </c>
      <c r="V11" s="55">
        <v>0</v>
      </c>
      <c r="W11" s="55">
        <v>0</v>
      </c>
      <c r="X11" s="55">
        <v>70</v>
      </c>
      <c r="Y11" s="55">
        <v>0</v>
      </c>
      <c r="Z11" s="55">
        <v>30</v>
      </c>
      <c r="AA11" s="55">
        <v>0</v>
      </c>
      <c r="AB11" s="53">
        <f>SUM(Sheet_1_Table_1_133[[#This Row],[Leadership LS]:[Career Development  CR]])</f>
        <v>100</v>
      </c>
      <c r="AC11" s="52" t="s">
        <v>245</v>
      </c>
      <c r="AD11" s="55" t="s">
        <v>190</v>
      </c>
      <c r="AE11" s="55" t="s">
        <v>142</v>
      </c>
      <c r="AF11" s="55" t="s">
        <v>146</v>
      </c>
      <c r="AG11" s="55" t="s">
        <v>146</v>
      </c>
      <c r="AH11" s="55">
        <v>2</v>
      </c>
      <c r="AI11" s="55">
        <v>20</v>
      </c>
      <c r="AJ11" s="62">
        <f>Sheet_1_Table_1_133[[#This Row],[ILP Units Per Session]]*Sheet_1_Table_1_133[[#This Row],[Quota]]</f>
        <v>40</v>
      </c>
      <c r="AK11" s="63">
        <v>46317</v>
      </c>
      <c r="AL11" s="64">
        <f>WEEKDAY(Sheet_1_Table_1_133[[#This Row],[Lesson 1 
Date 
(DD-MMM-YYYY)]])</f>
        <v>5</v>
      </c>
      <c r="AM11" s="65">
        <v>0.58333333333333337</v>
      </c>
      <c r="AN11" s="66">
        <v>0.66666666666666663</v>
      </c>
      <c r="AO11" s="67" t="s">
        <v>1519</v>
      </c>
      <c r="AP11" s="68"/>
      <c r="AQ11" s="64">
        <f>WEEKDAY(Sheet_1_Table_1_133[[#This Row],[Lesson 2
Date 
(DD-MMM-YYYY)]]
)</f>
        <v>7</v>
      </c>
      <c r="AR11" s="65"/>
      <c r="AS11" s="66"/>
      <c r="AT11" s="66"/>
      <c r="AU11" s="63"/>
      <c r="AV11" s="64" t="e">
        <f>WEEKDAY([5]!Sheet_1_Table_1_13[[#This Row],[Lesson 3
Date 
(DD-MMM-YYYY)]])</f>
        <v>#REF!</v>
      </c>
      <c r="AW11" s="65"/>
      <c r="AX11" s="66"/>
      <c r="AY11" s="67"/>
      <c r="AZ11" s="68"/>
      <c r="BA11" s="64" t="e">
        <f>WEEKDAY([5]!Sheet_1_Table_1_13[[#This Row],[Lesson 4
Date 
(DD-MMM-YYYY)]])</f>
        <v>#REF!</v>
      </c>
      <c r="BB11" s="65"/>
      <c r="BC11" s="66"/>
      <c r="BD11" s="66"/>
      <c r="BE11" s="63"/>
      <c r="BF11" s="64" t="e">
        <f>WEEKDAY([5]!Sheet_1_Table_1_13[[#This Row],[Lesson 5
Date 
(DD-MMM-YYYY)]])</f>
        <v>#REF!</v>
      </c>
      <c r="BG11" s="65"/>
      <c r="BH11" s="66"/>
      <c r="BI11" s="67"/>
      <c r="BJ11" s="68"/>
      <c r="BK11" s="64" t="e">
        <f>WEEKDAY([5]!Sheet_1_Table_1_13[[#This Row],[Lesson 6
Date 
(DD-MMM-YYYY)]])</f>
        <v>#REF!</v>
      </c>
      <c r="BL11" s="65"/>
      <c r="BM11" s="66"/>
      <c r="BN11" s="66"/>
      <c r="BO11" s="54"/>
      <c r="BP11" s="69" t="s">
        <v>1520</v>
      </c>
      <c r="BQ11" s="69"/>
      <c r="BR11" s="137"/>
      <c r="BS11" s="52"/>
      <c r="BT11" s="56"/>
      <c r="BU11" s="56"/>
      <c r="BV11" s="70"/>
      <c r="BW11" s="60"/>
      <c r="BX11" s="71"/>
      <c r="BY11" s="167">
        <v>0.58333333333333337</v>
      </c>
      <c r="BZ11" s="168" t="s">
        <v>1521</v>
      </c>
      <c r="CA11" s="56"/>
      <c r="CB11" s="72"/>
      <c r="CC11" s="72"/>
      <c r="CD11" s="71"/>
      <c r="CE11" s="60" t="s">
        <v>1465</v>
      </c>
      <c r="CF11" s="164" t="s">
        <v>1466</v>
      </c>
      <c r="CG11" s="56"/>
      <c r="CH11" s="57"/>
      <c r="CI11" s="52" t="s">
        <v>1511</v>
      </c>
      <c r="CJ11" s="52" t="s">
        <v>142</v>
      </c>
      <c r="CK11" s="52" t="s">
        <v>142</v>
      </c>
      <c r="CL11" s="52" t="s">
        <v>142</v>
      </c>
      <c r="CM11" s="52" t="s">
        <v>146</v>
      </c>
      <c r="CN11" s="52" t="s">
        <v>142</v>
      </c>
      <c r="CO11" s="52" t="s">
        <v>142</v>
      </c>
      <c r="CP11" s="52" t="s">
        <v>142</v>
      </c>
      <c r="CQ11" s="52" t="s">
        <v>142</v>
      </c>
      <c r="CR11" s="52" t="s">
        <v>142</v>
      </c>
      <c r="CS11" s="52" t="s">
        <v>142</v>
      </c>
      <c r="CT11" s="52" t="s">
        <v>1511</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N11" s="790"/>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1522</v>
      </c>
      <c r="D12" s="50" t="s">
        <v>174</v>
      </c>
      <c r="E12" s="51">
        <v>5743</v>
      </c>
      <c r="F12" s="52" t="s">
        <v>134</v>
      </c>
      <c r="G12" s="53" t="s">
        <v>157</v>
      </c>
      <c r="H12" s="59" t="s">
        <v>1523</v>
      </c>
      <c r="I12" s="54" t="s">
        <v>1457</v>
      </c>
      <c r="J12" s="60" t="s">
        <v>1524</v>
      </c>
      <c r="K12" s="69" t="s">
        <v>1525</v>
      </c>
      <c r="L12" s="55"/>
      <c r="M12" s="56" t="s">
        <v>1526</v>
      </c>
      <c r="N12" s="57" t="s">
        <v>1527</v>
      </c>
      <c r="O12" s="78" t="s">
        <v>146</v>
      </c>
      <c r="P12" s="59" t="s">
        <v>146</v>
      </c>
      <c r="Q12" s="60" t="s">
        <v>1462</v>
      </c>
      <c r="R12" s="61" t="str">
        <f>VLOOKUP(Sheet_1_Table_1_133[[#This Row],[Learning Domain]],[14]List!$A$7:$B$12,2,0)</f>
        <v>AES</v>
      </c>
      <c r="S12" s="55">
        <v>0</v>
      </c>
      <c r="T12" s="55">
        <v>0</v>
      </c>
      <c r="U12" s="55">
        <v>0</v>
      </c>
      <c r="V12" s="55">
        <v>0</v>
      </c>
      <c r="W12" s="55">
        <v>0</v>
      </c>
      <c r="X12" s="55">
        <v>100</v>
      </c>
      <c r="Y12" s="55">
        <v>0</v>
      </c>
      <c r="Z12" s="55">
        <v>0</v>
      </c>
      <c r="AA12" s="55">
        <v>0</v>
      </c>
      <c r="AB12" s="53">
        <f>SUM(Sheet_1_Table_1_133[[#This Row],[Leadership LS]:[Career Development  CR]])</f>
        <v>100</v>
      </c>
      <c r="AC12" s="52" t="s">
        <v>199</v>
      </c>
      <c r="AD12" s="55" t="s">
        <v>190</v>
      </c>
      <c r="AE12" s="55" t="s">
        <v>142</v>
      </c>
      <c r="AF12" s="55" t="s">
        <v>146</v>
      </c>
      <c r="AG12" s="55" t="s">
        <v>142</v>
      </c>
      <c r="AH12" s="55">
        <v>2</v>
      </c>
      <c r="AI12" s="55">
        <v>20</v>
      </c>
      <c r="AJ12" s="62">
        <f>Sheet_1_Table_1_133[[#This Row],[ILP Units Per Session]]*Sheet_1_Table_1_133[[#This Row],[Quota]]</f>
        <v>40</v>
      </c>
      <c r="AK12" s="63">
        <v>46324</v>
      </c>
      <c r="AL12" s="64">
        <f>WEEKDAY(Sheet_1_Table_1_133[[#This Row],[Lesson 1 
Date 
(DD-MMM-YYYY)]])</f>
        <v>5</v>
      </c>
      <c r="AM12" s="65">
        <v>0.64583333333333337</v>
      </c>
      <c r="AN12" s="66">
        <v>0.72916666666666663</v>
      </c>
      <c r="AO12" s="67" t="s">
        <v>1301</v>
      </c>
      <c r="AP12" s="68"/>
      <c r="AQ12" s="64">
        <f>WEEKDAY(Sheet_1_Table_1_133[[#This Row],[Lesson 2
Date 
(DD-MMM-YYYY)]]
)</f>
        <v>7</v>
      </c>
      <c r="AR12" s="65"/>
      <c r="AS12" s="66"/>
      <c r="AT12" s="66"/>
      <c r="AU12" s="63"/>
      <c r="AV12" s="64" t="e">
        <f>WEEKDAY([5]!Sheet_1_Table_1_13[[#This Row],[Lesson 3
Date 
(DD-MMM-YYYY)]])</f>
        <v>#REF!</v>
      </c>
      <c r="AW12" s="65"/>
      <c r="AX12" s="66"/>
      <c r="AY12" s="67"/>
      <c r="AZ12" s="68"/>
      <c r="BA12" s="64" t="e">
        <f>WEEKDAY([5]!Sheet_1_Table_1_13[[#This Row],[Lesson 4
Date 
(DD-MMM-YYYY)]])</f>
        <v>#REF!</v>
      </c>
      <c r="BB12" s="65"/>
      <c r="BC12" s="66"/>
      <c r="BD12" s="66"/>
      <c r="BE12" s="63"/>
      <c r="BF12" s="64" t="e">
        <f>WEEKDAY([5]!Sheet_1_Table_1_13[[#This Row],[Lesson 5
Date 
(DD-MMM-YYYY)]])</f>
        <v>#REF!</v>
      </c>
      <c r="BG12" s="65"/>
      <c r="BH12" s="66"/>
      <c r="BI12" s="67"/>
      <c r="BJ12" s="68"/>
      <c r="BK12" s="64" t="e">
        <f>WEEKDAY([5]!Sheet_1_Table_1_13[[#This Row],[Lesson 6
Date 
(DD-MMM-YYYY)]])</f>
        <v>#REF!</v>
      </c>
      <c r="BL12" s="65"/>
      <c r="BM12" s="66"/>
      <c r="BN12" s="66"/>
      <c r="BO12" s="54" t="s">
        <v>163</v>
      </c>
      <c r="BP12" s="69" t="s">
        <v>1528</v>
      </c>
      <c r="BQ12" s="69" t="s">
        <v>1131</v>
      </c>
      <c r="BR12" s="137" t="s">
        <v>1529</v>
      </c>
      <c r="BS12" s="52"/>
      <c r="BT12" s="56"/>
      <c r="BU12" s="56"/>
      <c r="BV12" s="70"/>
      <c r="BW12" s="60"/>
      <c r="BX12" s="71"/>
      <c r="BY12" s="56"/>
      <c r="BZ12" s="56"/>
      <c r="CA12" s="56"/>
      <c r="CB12" s="72"/>
      <c r="CC12" s="72"/>
      <c r="CD12" s="71"/>
      <c r="CE12" s="60" t="s">
        <v>1465</v>
      </c>
      <c r="CF12" s="164" t="s">
        <v>1466</v>
      </c>
      <c r="CG12" s="56"/>
      <c r="CH12" s="57"/>
      <c r="CI12" s="52" t="s">
        <v>146</v>
      </c>
      <c r="CJ12" s="52" t="s">
        <v>142</v>
      </c>
      <c r="CK12" s="52" t="s">
        <v>142</v>
      </c>
      <c r="CL12" s="52" t="s">
        <v>142</v>
      </c>
      <c r="CM12" s="52" t="s">
        <v>146</v>
      </c>
      <c r="CN12" s="52" t="s">
        <v>142</v>
      </c>
      <c r="CO12" s="52" t="s">
        <v>142</v>
      </c>
      <c r="CP12" s="52" t="s">
        <v>142</v>
      </c>
      <c r="CQ12" s="52" t="s">
        <v>142</v>
      </c>
      <c r="CR12" s="52" t="s">
        <v>142</v>
      </c>
      <c r="CS12" s="52" t="s">
        <v>142</v>
      </c>
      <c r="CT12" s="52" t="s">
        <v>146</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N12" s="790"/>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1530</v>
      </c>
      <c r="D13" s="50" t="s">
        <v>205</v>
      </c>
      <c r="E13" s="51">
        <v>5744</v>
      </c>
      <c r="F13" s="52" t="s">
        <v>134</v>
      </c>
      <c r="G13" s="53" t="s">
        <v>157</v>
      </c>
      <c r="H13" s="59" t="s">
        <v>1485</v>
      </c>
      <c r="I13" s="54" t="s">
        <v>1486</v>
      </c>
      <c r="J13" s="60" t="s">
        <v>1531</v>
      </c>
      <c r="K13" s="69" t="s">
        <v>1532</v>
      </c>
      <c r="L13" s="55"/>
      <c r="M13" s="56" t="s">
        <v>1533</v>
      </c>
      <c r="N13" s="57" t="s">
        <v>1534</v>
      </c>
      <c r="O13" s="78" t="s">
        <v>146</v>
      </c>
      <c r="P13" s="59" t="s">
        <v>146</v>
      </c>
      <c r="Q13" s="60" t="s">
        <v>1462</v>
      </c>
      <c r="R13" s="61" t="str">
        <f>VLOOKUP(Sheet_1_Table_1_133[[#This Row],[Learning Domain]],[14]List!$A$7:$B$12,2,0)</f>
        <v>AES</v>
      </c>
      <c r="S13" s="55">
        <v>50</v>
      </c>
      <c r="T13" s="55">
        <v>0</v>
      </c>
      <c r="U13" s="55">
        <v>0</v>
      </c>
      <c r="V13" s="55">
        <v>0</v>
      </c>
      <c r="W13" s="55">
        <v>0</v>
      </c>
      <c r="X13" s="55">
        <v>0</v>
      </c>
      <c r="Y13" s="55">
        <v>0</v>
      </c>
      <c r="Z13" s="55">
        <v>0</v>
      </c>
      <c r="AA13" s="55">
        <v>50</v>
      </c>
      <c r="AB13" s="53">
        <f>SUM(Sheet_1_Table_1_133[[#This Row],[Leadership LS]:[Career Development  CR]])</f>
        <v>100</v>
      </c>
      <c r="AC13" s="52" t="s">
        <v>144</v>
      </c>
      <c r="AD13" s="55" t="s">
        <v>190</v>
      </c>
      <c r="AE13" s="55" t="s">
        <v>146</v>
      </c>
      <c r="AF13" s="55" t="s">
        <v>142</v>
      </c>
      <c r="AG13" s="55" t="s">
        <v>142</v>
      </c>
      <c r="AH13" s="55">
        <v>2</v>
      </c>
      <c r="AI13" s="55">
        <v>100</v>
      </c>
      <c r="AJ13" s="62">
        <f>Sheet_1_Table_1_133[[#This Row],[ILP Units Per Session]]*Sheet_1_Table_1_133[[#This Row],[Quota]]</f>
        <v>200</v>
      </c>
      <c r="AK13" s="63">
        <v>46331</v>
      </c>
      <c r="AL13" s="64">
        <f>WEEKDAY(Sheet_1_Table_1_133[[#This Row],[Lesson 1 
Date 
(DD-MMM-YYYY)]])</f>
        <v>5</v>
      </c>
      <c r="AM13" s="65">
        <v>0.5625</v>
      </c>
      <c r="AN13" s="66">
        <v>0.64583333333333337</v>
      </c>
      <c r="AO13" s="67" t="s">
        <v>1301</v>
      </c>
      <c r="AP13" s="68"/>
      <c r="AQ13" s="64">
        <f>WEEKDAY(Sheet_1_Table_1_133[[#This Row],[Lesson 2
Date 
(DD-MMM-YYYY)]]
)</f>
        <v>7</v>
      </c>
      <c r="AR13" s="65"/>
      <c r="AS13" s="66"/>
      <c r="AT13" s="66"/>
      <c r="AU13" s="63"/>
      <c r="AV13" s="64" t="e">
        <f>WEEKDAY([5]!Sheet_1_Table_1_13[[#This Row],[Lesson 3
Date 
(DD-MMM-YYYY)]])</f>
        <v>#REF!</v>
      </c>
      <c r="AW13" s="65"/>
      <c r="AX13" s="66"/>
      <c r="AY13" s="67"/>
      <c r="AZ13" s="68"/>
      <c r="BA13" s="64" t="e">
        <f>WEEKDAY([5]!Sheet_1_Table_1_13[[#This Row],[Lesson 4
Date 
(DD-MMM-YYYY)]])</f>
        <v>#REF!</v>
      </c>
      <c r="BB13" s="65"/>
      <c r="BC13" s="66"/>
      <c r="BD13" s="66"/>
      <c r="BE13" s="63"/>
      <c r="BF13" s="64" t="e">
        <f>WEEKDAY([5]!Sheet_1_Table_1_13[[#This Row],[Lesson 5
Date 
(DD-MMM-YYYY)]])</f>
        <v>#REF!</v>
      </c>
      <c r="BG13" s="65"/>
      <c r="BH13" s="66"/>
      <c r="BI13" s="67"/>
      <c r="BJ13" s="68"/>
      <c r="BK13" s="64" t="e">
        <f>WEEKDAY([5]!Sheet_1_Table_1_13[[#This Row],[Lesson 6
Date 
(DD-MMM-YYYY)]])</f>
        <v>#REF!</v>
      </c>
      <c r="BL13" s="65"/>
      <c r="BM13" s="66"/>
      <c r="BN13" s="66"/>
      <c r="BO13" s="54" t="s">
        <v>163</v>
      </c>
      <c r="BP13" s="69" t="s">
        <v>1491</v>
      </c>
      <c r="BQ13" s="69" t="s">
        <v>1264</v>
      </c>
      <c r="BR13" s="137" t="s">
        <v>1492</v>
      </c>
      <c r="BS13" s="52"/>
      <c r="BT13" s="56"/>
      <c r="BU13" s="56"/>
      <c r="BV13" s="70"/>
      <c r="BW13" s="60"/>
      <c r="BX13" s="71"/>
      <c r="BY13" s="56"/>
      <c r="BZ13" s="56"/>
      <c r="CA13" s="56"/>
      <c r="CB13" s="72"/>
      <c r="CC13" s="72"/>
      <c r="CD13" s="71"/>
      <c r="CE13" s="60" t="s">
        <v>1465</v>
      </c>
      <c r="CF13" s="164" t="s">
        <v>1466</v>
      </c>
      <c r="CG13" s="56"/>
      <c r="CH13" s="57"/>
      <c r="CI13" s="52" t="s">
        <v>146</v>
      </c>
      <c r="CJ13" s="52" t="s">
        <v>142</v>
      </c>
      <c r="CK13" s="52" t="s">
        <v>142</v>
      </c>
      <c r="CL13" s="52" t="s">
        <v>142</v>
      </c>
      <c r="CM13" s="52" t="s">
        <v>146</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N13" s="790"/>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1535</v>
      </c>
      <c r="D14" s="50" t="s">
        <v>205</v>
      </c>
      <c r="E14" s="51">
        <v>5745</v>
      </c>
      <c r="F14" s="52" t="s">
        <v>134</v>
      </c>
      <c r="G14" s="53" t="s">
        <v>157</v>
      </c>
      <c r="H14" s="59" t="s">
        <v>1485</v>
      </c>
      <c r="I14" s="54" t="s">
        <v>1486</v>
      </c>
      <c r="J14" s="60" t="s">
        <v>1536</v>
      </c>
      <c r="K14" s="69" t="s">
        <v>1537</v>
      </c>
      <c r="L14" s="55"/>
      <c r="M14" s="56" t="s">
        <v>1538</v>
      </c>
      <c r="N14" s="57" t="s">
        <v>1539</v>
      </c>
      <c r="O14" s="78" t="s">
        <v>146</v>
      </c>
      <c r="P14" s="59" t="s">
        <v>146</v>
      </c>
      <c r="Q14" s="60" t="s">
        <v>1462</v>
      </c>
      <c r="R14" s="77" t="str">
        <f>VLOOKUP(Sheet_1_Table_1_133[[#This Row],[Learning Domain]],[14]List!$A$7:$B$12,2,0)</f>
        <v>AES</v>
      </c>
      <c r="S14" s="55">
        <v>50</v>
      </c>
      <c r="T14" s="55">
        <v>0</v>
      </c>
      <c r="U14" s="55">
        <v>0</v>
      </c>
      <c r="V14" s="55">
        <v>0</v>
      </c>
      <c r="W14" s="55">
        <v>0</v>
      </c>
      <c r="X14" s="55">
        <v>0</v>
      </c>
      <c r="Y14" s="55">
        <v>0</v>
      </c>
      <c r="Z14" s="55">
        <v>0</v>
      </c>
      <c r="AA14" s="55">
        <v>50</v>
      </c>
      <c r="AB14" s="53">
        <f>SUM(Sheet_1_Table_1_133[[#This Row],[Leadership LS]:[Career Development  CR]])</f>
        <v>100</v>
      </c>
      <c r="AC14" s="52" t="s">
        <v>199</v>
      </c>
      <c r="AD14" s="55" t="s">
        <v>190</v>
      </c>
      <c r="AE14" s="55" t="s">
        <v>146</v>
      </c>
      <c r="AF14" s="55" t="s">
        <v>142</v>
      </c>
      <c r="AG14" s="55" t="s">
        <v>142</v>
      </c>
      <c r="AH14" s="55">
        <v>2</v>
      </c>
      <c r="AI14" s="55">
        <v>30</v>
      </c>
      <c r="AJ14" s="62">
        <f>Sheet_1_Table_1_133[[#This Row],[ILP Units Per Session]]*Sheet_1_Table_1_133[[#This Row],[Quota]]</f>
        <v>60</v>
      </c>
      <c r="AK14" s="63">
        <v>46332</v>
      </c>
      <c r="AL14" s="64">
        <f>WEEKDAY(Sheet_1_Table_1_133[[#This Row],[Lesson 1 
Date 
(DD-MMM-YYYY)]])</f>
        <v>6</v>
      </c>
      <c r="AM14" s="65">
        <v>0.5625</v>
      </c>
      <c r="AN14" s="66">
        <v>0.64583333333333337</v>
      </c>
      <c r="AO14" s="67" t="s">
        <v>684</v>
      </c>
      <c r="AP14" s="68"/>
      <c r="AQ14" s="64">
        <f>WEEKDAY(Sheet_1_Table_1_133[[#This Row],[Lesson 2
Date 
(DD-MMM-YYYY)]]
)</f>
        <v>7</v>
      </c>
      <c r="AR14" s="65"/>
      <c r="AS14" s="66"/>
      <c r="AT14" s="66"/>
      <c r="AU14" s="63"/>
      <c r="AV14" s="64" t="e">
        <f>WEEKDAY([5]!Sheet_1_Table_1_13[[#This Row],[Lesson 3
Date 
(DD-MMM-YYYY)]])</f>
        <v>#REF!</v>
      </c>
      <c r="AW14" s="65"/>
      <c r="AX14" s="66"/>
      <c r="AY14" s="67"/>
      <c r="AZ14" s="68"/>
      <c r="BA14" s="64" t="e">
        <f>WEEKDAY([5]!Sheet_1_Table_1_13[[#This Row],[Lesson 4
Date 
(DD-MMM-YYYY)]])</f>
        <v>#REF!</v>
      </c>
      <c r="BB14" s="65"/>
      <c r="BC14" s="66"/>
      <c r="BD14" s="66"/>
      <c r="BE14" s="63"/>
      <c r="BF14" s="64" t="e">
        <f>WEEKDAY([5]!Sheet_1_Table_1_13[[#This Row],[Lesson 5
Date 
(DD-MMM-YYYY)]])</f>
        <v>#REF!</v>
      </c>
      <c r="BG14" s="65"/>
      <c r="BH14" s="66"/>
      <c r="BI14" s="67"/>
      <c r="BJ14" s="68"/>
      <c r="BK14" s="64" t="e">
        <f>WEEKDAY([5]!Sheet_1_Table_1_13[[#This Row],[Lesson 6
Date 
(DD-MMM-YYYY)]])</f>
        <v>#REF!</v>
      </c>
      <c r="BL14" s="65"/>
      <c r="BM14" s="66"/>
      <c r="BN14" s="66"/>
      <c r="BO14" s="54" t="s">
        <v>163</v>
      </c>
      <c r="BP14" s="69" t="s">
        <v>1491</v>
      </c>
      <c r="BQ14" s="69" t="s">
        <v>1264</v>
      </c>
      <c r="BR14" s="137" t="s">
        <v>1492</v>
      </c>
      <c r="BS14" s="52"/>
      <c r="BT14" s="56"/>
      <c r="BU14" s="56"/>
      <c r="BV14" s="70"/>
      <c r="BW14" s="60"/>
      <c r="BX14" s="71"/>
      <c r="BY14" s="56"/>
      <c r="BZ14" s="56"/>
      <c r="CA14" s="56"/>
      <c r="CB14" s="72"/>
      <c r="CC14" s="72"/>
      <c r="CD14" s="71"/>
      <c r="CE14" s="60" t="s">
        <v>1465</v>
      </c>
      <c r="CF14" s="164" t="s">
        <v>1466</v>
      </c>
      <c r="CG14" s="56"/>
      <c r="CH14" s="57"/>
      <c r="CI14" s="52" t="s">
        <v>146</v>
      </c>
      <c r="CJ14" s="52" t="s">
        <v>142</v>
      </c>
      <c r="CK14" s="52" t="s">
        <v>142</v>
      </c>
      <c r="CL14" s="52" t="s">
        <v>142</v>
      </c>
      <c r="CM14" s="52" t="s">
        <v>146</v>
      </c>
      <c r="CN14" s="52" t="s">
        <v>142</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N14" s="790"/>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13</v>
      </c>
      <c r="B15" s="49">
        <v>202609</v>
      </c>
      <c r="C15" s="50" t="s">
        <v>1540</v>
      </c>
      <c r="D15" s="50" t="s">
        <v>205</v>
      </c>
      <c r="E15" s="51">
        <v>5746</v>
      </c>
      <c r="F15" s="52" t="s">
        <v>134</v>
      </c>
      <c r="G15" s="53" t="s">
        <v>157</v>
      </c>
      <c r="H15" s="59" t="s">
        <v>1456</v>
      </c>
      <c r="I15" s="54" t="s">
        <v>1541</v>
      </c>
      <c r="J15" s="60" t="s">
        <v>1542</v>
      </c>
      <c r="K15" s="69" t="s">
        <v>1543</v>
      </c>
      <c r="L15" s="55"/>
      <c r="M15" s="56" t="s">
        <v>1544</v>
      </c>
      <c r="N15" s="57" t="s">
        <v>1545</v>
      </c>
      <c r="O15" s="78" t="s">
        <v>146</v>
      </c>
      <c r="P15" s="59" t="s">
        <v>146</v>
      </c>
      <c r="Q15" s="60" t="s">
        <v>1462</v>
      </c>
      <c r="R15" s="77" t="str">
        <f>VLOOKUP(Sheet_1_Table_1_133[[#This Row],[Learning Domain]],[14]List!$A$7:$B$12,2,0)</f>
        <v>AES</v>
      </c>
      <c r="S15" s="55">
        <v>0</v>
      </c>
      <c r="T15" s="55">
        <v>0</v>
      </c>
      <c r="U15" s="55">
        <v>0</v>
      </c>
      <c r="V15" s="55">
        <v>0</v>
      </c>
      <c r="W15" s="55">
        <v>0</v>
      </c>
      <c r="X15" s="55">
        <v>100</v>
      </c>
      <c r="Y15" s="55">
        <v>0</v>
      </c>
      <c r="Z15" s="55">
        <v>0</v>
      </c>
      <c r="AA15" s="55">
        <v>0</v>
      </c>
      <c r="AB15" s="53">
        <f>SUM(Sheet_1_Table_1_133[[#This Row],[Leadership LS]:[Career Development  CR]])</f>
        <v>100</v>
      </c>
      <c r="AC15" s="52" t="s">
        <v>144</v>
      </c>
      <c r="AD15" s="55" t="s">
        <v>190</v>
      </c>
      <c r="AE15" s="55" t="s">
        <v>142</v>
      </c>
      <c r="AF15" s="55" t="s">
        <v>146</v>
      </c>
      <c r="AG15" s="55" t="s">
        <v>146</v>
      </c>
      <c r="AH15" s="55">
        <v>1.5</v>
      </c>
      <c r="AI15" s="55">
        <v>100</v>
      </c>
      <c r="AJ15" s="62">
        <f>Sheet_1_Table_1_133[[#This Row],[ILP Units Per Session]]*Sheet_1_Table_1_133[[#This Row],[Quota]]</f>
        <v>150</v>
      </c>
      <c r="AK15" s="63">
        <v>46335</v>
      </c>
      <c r="AL15" s="64">
        <f>WEEKDAY(Sheet_1_Table_1_133[[#This Row],[Lesson 1 
Date 
(DD-MMM-YYYY)]])</f>
        <v>2</v>
      </c>
      <c r="AM15" s="65">
        <v>0.4375</v>
      </c>
      <c r="AN15" s="66">
        <v>0.5</v>
      </c>
      <c r="AO15" s="67" t="s">
        <v>1301</v>
      </c>
      <c r="AP15" s="68"/>
      <c r="AQ15" s="64">
        <f>WEEKDAY(Sheet_1_Table_1_133[[#This Row],[Lesson 2
Date 
(DD-MMM-YYYY)]]
)</f>
        <v>7</v>
      </c>
      <c r="AR15" s="65"/>
      <c r="AS15" s="66"/>
      <c r="AT15" s="66"/>
      <c r="AU15" s="63"/>
      <c r="AV15" s="64" t="e">
        <f>WEEKDAY([5]!Sheet_1_Table_1_13[[#This Row],[Lesson 3
Date 
(DD-MMM-YYYY)]])</f>
        <v>#REF!</v>
      </c>
      <c r="AW15" s="65"/>
      <c r="AX15" s="66"/>
      <c r="AY15" s="67"/>
      <c r="AZ15" s="68"/>
      <c r="BA15" s="64" t="e">
        <f>WEEKDAY([5]!Sheet_1_Table_1_13[[#This Row],[Lesson 4
Date 
(DD-MMM-YYYY)]])</f>
        <v>#REF!</v>
      </c>
      <c r="BB15" s="65"/>
      <c r="BC15" s="66"/>
      <c r="BD15" s="66"/>
      <c r="BE15" s="63"/>
      <c r="BF15" s="64" t="e">
        <f>WEEKDAY([5]!Sheet_1_Table_1_13[[#This Row],[Lesson 5
Date 
(DD-MMM-YYYY)]])</f>
        <v>#REF!</v>
      </c>
      <c r="BG15" s="65"/>
      <c r="BH15" s="66"/>
      <c r="BI15" s="67"/>
      <c r="BJ15" s="68"/>
      <c r="BK15" s="64" t="e">
        <f>WEEKDAY([5]!Sheet_1_Table_1_13[[#This Row],[Lesson 6
Date 
(DD-MMM-YYYY)]])</f>
        <v>#REF!</v>
      </c>
      <c r="BL15" s="65"/>
      <c r="BM15" s="66"/>
      <c r="BN15" s="66"/>
      <c r="BO15" s="54" t="s">
        <v>289</v>
      </c>
      <c r="BP15" s="69" t="s">
        <v>1546</v>
      </c>
      <c r="BQ15" s="69" t="s">
        <v>1547</v>
      </c>
      <c r="BR15" s="57" t="s">
        <v>1548</v>
      </c>
      <c r="BS15" s="52"/>
      <c r="BT15" s="56"/>
      <c r="BU15" s="56"/>
      <c r="BV15" s="70"/>
      <c r="BW15" s="60"/>
      <c r="BX15" s="71"/>
      <c r="BY15" s="56"/>
      <c r="BZ15" s="56"/>
      <c r="CA15" s="56"/>
      <c r="CB15" s="72"/>
      <c r="CC15" s="72"/>
      <c r="CD15" s="71"/>
      <c r="CE15" s="60" t="s">
        <v>1465</v>
      </c>
      <c r="CF15" s="164" t="s">
        <v>1466</v>
      </c>
      <c r="CG15" s="56"/>
      <c r="CH15" s="57"/>
      <c r="CI15" s="52" t="s">
        <v>146</v>
      </c>
      <c r="CJ15" s="52" t="s">
        <v>142</v>
      </c>
      <c r="CK15" s="52" t="s">
        <v>142</v>
      </c>
      <c r="CL15" s="52" t="s">
        <v>142</v>
      </c>
      <c r="CM15" s="52" t="s">
        <v>146</v>
      </c>
      <c r="CN15" s="52" t="s">
        <v>142</v>
      </c>
      <c r="CO15" s="52" t="s">
        <v>142</v>
      </c>
      <c r="CP15" s="52" t="s">
        <v>142</v>
      </c>
      <c r="CQ15" s="52" t="s">
        <v>142</v>
      </c>
      <c r="CR15" s="52" t="s">
        <v>142</v>
      </c>
      <c r="CS15" s="52" t="s">
        <v>142</v>
      </c>
      <c r="CT15" s="52" t="s">
        <v>146</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N15" s="790"/>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22</v>
      </c>
      <c r="B16" s="49">
        <v>202609</v>
      </c>
      <c r="C16" s="50" t="s">
        <v>1549</v>
      </c>
      <c r="D16" s="50" t="s">
        <v>133</v>
      </c>
      <c r="E16" s="51">
        <v>5937</v>
      </c>
      <c r="F16" s="596" t="s">
        <v>134</v>
      </c>
      <c r="G16" s="539" t="s">
        <v>712</v>
      </c>
      <c r="H16" s="597" t="s">
        <v>728</v>
      </c>
      <c r="I16" s="597" t="s">
        <v>729</v>
      </c>
      <c r="J16" s="619" t="s">
        <v>1550</v>
      </c>
      <c r="K16" s="598" t="s">
        <v>1551</v>
      </c>
      <c r="L16" s="55"/>
      <c r="M16" s="56" t="s">
        <v>1552</v>
      </c>
      <c r="N16" s="57" t="s">
        <v>1553</v>
      </c>
      <c r="O16" s="162" t="s">
        <v>142</v>
      </c>
      <c r="P16" s="178" t="s">
        <v>142</v>
      </c>
      <c r="Q16" s="60" t="s">
        <v>1462</v>
      </c>
      <c r="R16" s="61" t="e">
        <f>VLOOKUP([15]!Sheet_1_Table_1_134[[#This Row],[Learning Domain]],[16]List!$A$7:$B$12,2,0)</f>
        <v>#REF!</v>
      </c>
      <c r="S16" s="55">
        <v>0</v>
      </c>
      <c r="T16" s="55">
        <v>0</v>
      </c>
      <c r="U16" s="55">
        <v>0</v>
      </c>
      <c r="V16" s="55">
        <v>100</v>
      </c>
      <c r="W16" s="55">
        <v>0</v>
      </c>
      <c r="X16" s="55">
        <v>0</v>
      </c>
      <c r="Y16" s="55">
        <v>0</v>
      </c>
      <c r="Z16" s="55">
        <v>0</v>
      </c>
      <c r="AA16" s="55">
        <v>0</v>
      </c>
      <c r="AB16" s="53" t="e">
        <f>SUM([15]!Sheet_1_Table_1_134[[#This Row],[Leadership LS]:[Career Development  CR]])</f>
        <v>#REF!</v>
      </c>
      <c r="AC16" s="52" t="s">
        <v>199</v>
      </c>
      <c r="AD16" s="55" t="s">
        <v>190</v>
      </c>
      <c r="AE16" s="55" t="s">
        <v>142</v>
      </c>
      <c r="AF16" s="55" t="s">
        <v>146</v>
      </c>
      <c r="AG16" s="55" t="s">
        <v>142</v>
      </c>
      <c r="AH16" s="55">
        <v>2</v>
      </c>
      <c r="AI16" s="55">
        <v>15</v>
      </c>
      <c r="AJ16" s="62">
        <f>SUM(Sheet_1_Table_1_133[[#This Row],[ILP Units Per Session]]*Sheet_1_Table_1_133[[#This Row],[Quota]])</f>
        <v>30</v>
      </c>
      <c r="AK16" s="63">
        <v>46349</v>
      </c>
      <c r="AL16" s="64">
        <f>WEEKDAY(Sheet_1_Table_1_133[[#This Row],[Lesson 1 
Date 
(DD-MMM-YYYY)]])</f>
        <v>2</v>
      </c>
      <c r="AM16" s="65">
        <v>0.625</v>
      </c>
      <c r="AN16" s="66">
        <v>0.70833333333333337</v>
      </c>
      <c r="AO16" s="620" t="s">
        <v>460</v>
      </c>
      <c r="AP16" s="68"/>
      <c r="AQ16" s="64">
        <f>WEEKDAY(Sheet_1_Table_1_133[[#This Row],[Lesson 2
Date 
(DD-MMM-YYYY)]]
)</f>
        <v>7</v>
      </c>
      <c r="AR16" s="65"/>
      <c r="AS16" s="66"/>
      <c r="AT16" s="66"/>
      <c r="AU16" s="63"/>
      <c r="AV16" s="64" t="e">
        <f>WEEKDAY([5]!Sheet_1_Table_1_13[[#This Row],[Lesson 3
Date 
(DD-MMM-YYYY)]])</f>
        <v>#REF!</v>
      </c>
      <c r="AW16" s="65"/>
      <c r="AX16" s="66"/>
      <c r="AY16" s="67"/>
      <c r="AZ16" s="68"/>
      <c r="BA16" s="64" t="e">
        <f>WEEKDAY([5]!Sheet_1_Table_1_13[[#This Row],[Lesson 4
Date 
(DD-MMM-YYYY)]])</f>
        <v>#REF!</v>
      </c>
      <c r="BB16" s="65"/>
      <c r="BC16" s="66"/>
      <c r="BD16" s="66"/>
      <c r="BE16" s="63"/>
      <c r="BF16" s="64" t="e">
        <f>WEEKDAY([5]!Sheet_1_Table_1_13[[#This Row],[Lesson 5
Date 
(DD-MMM-YYYY)]])</f>
        <v>#REF!</v>
      </c>
      <c r="BG16" s="65"/>
      <c r="BH16" s="66"/>
      <c r="BI16" s="67"/>
      <c r="BJ16" s="68"/>
      <c r="BK16" s="64" t="e">
        <f>WEEKDAY([5]!Sheet_1_Table_1_13[[#This Row],[Lesson 6
Date 
(DD-MMM-YYYY)]])</f>
        <v>#REF!</v>
      </c>
      <c r="BL16" s="65"/>
      <c r="BM16" s="66"/>
      <c r="BN16" s="66"/>
      <c r="BO16" s="54"/>
      <c r="BP16" s="69"/>
      <c r="BQ16" s="55"/>
      <c r="BR16" s="57" t="s">
        <v>1554</v>
      </c>
      <c r="BS16" s="52"/>
      <c r="BT16" s="56"/>
      <c r="BU16" s="56"/>
      <c r="BV16" s="70"/>
      <c r="BW16" s="60"/>
      <c r="BX16" s="71"/>
      <c r="BY16" s="56"/>
      <c r="BZ16" s="56"/>
      <c r="CA16" s="56"/>
      <c r="CB16" s="72"/>
      <c r="CC16" s="72"/>
      <c r="CD16" s="71"/>
      <c r="CE16" s="60" t="s">
        <v>737</v>
      </c>
      <c r="CF16" s="164" t="s">
        <v>738</v>
      </c>
      <c r="CG16" s="56" t="s">
        <v>723</v>
      </c>
      <c r="CH16" s="291" t="s">
        <v>724</v>
      </c>
      <c r="CI16" s="52" t="s">
        <v>142</v>
      </c>
      <c r="CJ16" s="52" t="s">
        <v>142</v>
      </c>
      <c r="CK16" s="52" t="s">
        <v>142</v>
      </c>
      <c r="CL16" s="52" t="s">
        <v>146</v>
      </c>
      <c r="CM16" s="52" t="s">
        <v>146</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t="s">
        <v>142</v>
      </c>
      <c r="DH16" s="73" t="s">
        <v>142</v>
      </c>
      <c r="DI16" s="599" t="s">
        <v>142</v>
      </c>
      <c r="DJ16" s="600" t="s">
        <v>142</v>
      </c>
      <c r="DK16" s="76" t="s">
        <v>146</v>
      </c>
      <c r="DL16" s="76" t="s">
        <v>146</v>
      </c>
      <c r="DM16" s="76" t="s">
        <v>146</v>
      </c>
      <c r="DN16" s="790"/>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23</v>
      </c>
      <c r="B17" s="49">
        <v>202609</v>
      </c>
      <c r="C17" s="50" t="s">
        <v>1555</v>
      </c>
      <c r="D17" s="50" t="s">
        <v>1556</v>
      </c>
      <c r="E17" s="51">
        <v>5799</v>
      </c>
      <c r="F17" s="52" t="s">
        <v>802</v>
      </c>
      <c r="G17" s="53"/>
      <c r="H17" s="80"/>
      <c r="I17" s="290"/>
      <c r="J17" s="693" t="s">
        <v>1557</v>
      </c>
      <c r="K17" s="694" t="s">
        <v>1558</v>
      </c>
      <c r="L17" s="694"/>
      <c r="M17" s="695" t="s">
        <v>1559</v>
      </c>
      <c r="N17" s="696" t="s">
        <v>1560</v>
      </c>
      <c r="O17" s="78" t="s">
        <v>146</v>
      </c>
      <c r="P17" s="59" t="s">
        <v>146</v>
      </c>
      <c r="Q17" s="60" t="s">
        <v>1462</v>
      </c>
      <c r="R17" s="61" t="e">
        <f>VLOOKUP([2]!Sheet_1_Table_1_13[[#This Row],[Learning Domain]],[2]List!$A$7:$B$12,2,0)</f>
        <v>#REF!</v>
      </c>
      <c r="S17" s="55">
        <v>0</v>
      </c>
      <c r="T17" s="55">
        <v>0</v>
      </c>
      <c r="U17" s="55">
        <v>20</v>
      </c>
      <c r="V17" s="55">
        <v>30</v>
      </c>
      <c r="W17" s="55">
        <v>0</v>
      </c>
      <c r="X17" s="55">
        <v>50</v>
      </c>
      <c r="Y17" s="55">
        <v>0</v>
      </c>
      <c r="Z17" s="55">
        <v>0</v>
      </c>
      <c r="AA17" s="55">
        <v>0</v>
      </c>
      <c r="AB17" s="53" t="e">
        <f>SUM([2]!Sheet_1_Table_1_13[[#This Row],[Leadership LS]:[Career Development  CR]])</f>
        <v>#REF!</v>
      </c>
      <c r="AC17" s="52" t="s">
        <v>199</v>
      </c>
      <c r="AD17" s="55" t="s">
        <v>190</v>
      </c>
      <c r="AE17" s="55" t="s">
        <v>142</v>
      </c>
      <c r="AF17" s="55" t="s">
        <v>146</v>
      </c>
      <c r="AG17" s="55" t="s">
        <v>142</v>
      </c>
      <c r="AH17" s="55">
        <v>6</v>
      </c>
      <c r="AI17" s="55">
        <v>40</v>
      </c>
      <c r="AJ17" s="62">
        <f>SUM(Sheet_1_Table_1_133[[#This Row],[ILP Units Per Session]]*Sheet_1_Table_1_133[[#This Row],[Quota]])</f>
        <v>240</v>
      </c>
      <c r="AK17" s="63">
        <v>46288</v>
      </c>
      <c r="AL17" s="64">
        <f>WEEKDAY(Sheet_1_Table_1_133[[#This Row],[Lesson 1 
Date 
(DD-MMM-YYYY)]])</f>
        <v>4</v>
      </c>
      <c r="AM17" s="65">
        <v>0.77083333333333337</v>
      </c>
      <c r="AN17" s="66">
        <v>0.89583333333333337</v>
      </c>
      <c r="AO17" s="67" t="s">
        <v>2235</v>
      </c>
      <c r="AP17" s="68">
        <v>46302</v>
      </c>
      <c r="AQ17" s="64">
        <f>WEEKDAY(Sheet_1_Table_1_133[[#This Row],[Lesson 2
Date 
(DD-MMM-YYYY)]]
)</f>
        <v>4</v>
      </c>
      <c r="AR17" s="65">
        <v>0.77083333333333337</v>
      </c>
      <c r="AS17" s="66">
        <v>0.89583333333333337</v>
      </c>
      <c r="AT17" s="66" t="s">
        <v>2235</v>
      </c>
      <c r="AU17" s="63"/>
      <c r="AV17" s="165" t="e">
        <f>WEEKDAY([5]!Sheet_1_Table_1_13[[#This Row],[Lesson 3
Date 
(DD-MMM-YYYY)]])</f>
        <v>#REF!</v>
      </c>
      <c r="AW17" s="65"/>
      <c r="AX17" s="66"/>
      <c r="AY17" s="67"/>
      <c r="AZ17" s="68"/>
      <c r="BA17" s="64" t="e">
        <f>WEEKDAY([5]!Sheet_1_Table_1_13[[#This Row],[Lesson 4
Date 
(DD-MMM-YYYY)]])</f>
        <v>#REF!</v>
      </c>
      <c r="BB17" s="65"/>
      <c r="BC17" s="66"/>
      <c r="BD17" s="66"/>
      <c r="BE17" s="63"/>
      <c r="BF17" s="165" t="e">
        <f>WEEKDAY([5]!Sheet_1_Table_1_13[[#This Row],[Lesson 5
Date 
(DD-MMM-YYYY)]])</f>
        <v>#REF!</v>
      </c>
      <c r="BG17" s="65"/>
      <c r="BH17" s="66"/>
      <c r="BI17" s="67"/>
      <c r="BJ17" s="68"/>
      <c r="BK17" s="165" t="e">
        <f>WEEKDAY([5]!Sheet_1_Table_1_13[[#This Row],[Lesson 6
Date 
(DD-MMM-YYYY)]])</f>
        <v>#REF!</v>
      </c>
      <c r="BL17" s="65"/>
      <c r="BM17" s="66"/>
      <c r="BN17" s="66"/>
      <c r="BO17" s="54" t="s">
        <v>163</v>
      </c>
      <c r="BP17" s="697" t="s">
        <v>1561</v>
      </c>
      <c r="BQ17" s="694" t="s">
        <v>1562</v>
      </c>
      <c r="BR17" s="696" t="s">
        <v>1563</v>
      </c>
      <c r="BS17" s="52" t="s">
        <v>293</v>
      </c>
      <c r="BT17" s="695" t="s">
        <v>1564</v>
      </c>
      <c r="BU17" s="695" t="s">
        <v>1565</v>
      </c>
      <c r="BV17" s="698" t="s">
        <v>1566</v>
      </c>
      <c r="BW17" s="60">
        <v>0</v>
      </c>
      <c r="BX17" s="71"/>
      <c r="BY17" s="56" t="s">
        <v>184</v>
      </c>
      <c r="BZ17" s="56"/>
      <c r="CA17" s="56" t="s">
        <v>184</v>
      </c>
      <c r="CB17" s="72"/>
      <c r="CC17" s="72"/>
      <c r="CD17" s="71"/>
      <c r="CE17" s="693" t="s">
        <v>793</v>
      </c>
      <c r="CF17" s="699" t="s">
        <v>794</v>
      </c>
      <c r="CG17" s="695" t="s">
        <v>795</v>
      </c>
      <c r="CH17" s="700" t="s">
        <v>796</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N17" s="790" t="s">
        <v>2237</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48">
        <v>24</v>
      </c>
      <c r="B18" s="49">
        <v>202609</v>
      </c>
      <c r="C18" s="50" t="s">
        <v>1567</v>
      </c>
      <c r="D18" s="50" t="s">
        <v>251</v>
      </c>
      <c r="E18" s="51">
        <v>5800</v>
      </c>
      <c r="F18" s="52" t="s">
        <v>802</v>
      </c>
      <c r="G18" s="53"/>
      <c r="H18" s="80"/>
      <c r="I18" s="290"/>
      <c r="J18" s="701" t="s">
        <v>1568</v>
      </c>
      <c r="K18" s="702" t="s">
        <v>1569</v>
      </c>
      <c r="L18" s="694"/>
      <c r="M18" s="695" t="s">
        <v>1570</v>
      </c>
      <c r="N18" s="703" t="s">
        <v>1571</v>
      </c>
      <c r="O18" s="78" t="s">
        <v>146</v>
      </c>
      <c r="P18" s="59" t="s">
        <v>146</v>
      </c>
      <c r="Q18" s="60" t="s">
        <v>1462</v>
      </c>
      <c r="R18" s="61" t="e">
        <f>VLOOKUP([2]!Sheet_1_Table_1_13[[#This Row],[Learning Domain]],[2]List!$A$7:$B$12,2,0)</f>
        <v>#REF!</v>
      </c>
      <c r="S18" s="55">
        <v>0</v>
      </c>
      <c r="T18" s="55">
        <v>0</v>
      </c>
      <c r="U18" s="55">
        <v>0</v>
      </c>
      <c r="V18" s="55">
        <v>20</v>
      </c>
      <c r="W18" s="55">
        <v>0</v>
      </c>
      <c r="X18" s="55">
        <v>80</v>
      </c>
      <c r="Y18" s="55">
        <v>0</v>
      </c>
      <c r="Z18" s="55">
        <v>0</v>
      </c>
      <c r="AA18" s="55">
        <v>0</v>
      </c>
      <c r="AB18" s="53" t="e">
        <f>SUM([2]!Sheet_1_Table_1_13[[#This Row],[Leadership LS]:[Career Development  CR]])</f>
        <v>#REF!</v>
      </c>
      <c r="AC18" s="52" t="s">
        <v>144</v>
      </c>
      <c r="AD18" s="55" t="s">
        <v>190</v>
      </c>
      <c r="AE18" s="55" t="s">
        <v>142</v>
      </c>
      <c r="AF18" s="55" t="s">
        <v>146</v>
      </c>
      <c r="AG18" s="55" t="s">
        <v>142</v>
      </c>
      <c r="AH18" s="55">
        <v>2</v>
      </c>
      <c r="AI18" s="55">
        <v>80</v>
      </c>
      <c r="AJ18" s="62">
        <f>SUM(Sheet_1_Table_1_133[[#This Row],[ILP Units Per Session]]*Sheet_1_Table_1_133[[#This Row],[Quota]])</f>
        <v>160</v>
      </c>
      <c r="AK18" s="63">
        <v>46295</v>
      </c>
      <c r="AL18" s="64">
        <f>WEEKDAY(Sheet_1_Table_1_133[[#This Row],[Lesson 1 
Date 
(DD-MMM-YYYY)]])</f>
        <v>4</v>
      </c>
      <c r="AM18" s="65">
        <v>0.8125</v>
      </c>
      <c r="AN18" s="66">
        <v>0.89583333333333337</v>
      </c>
      <c r="AO18" s="67" t="s">
        <v>789</v>
      </c>
      <c r="AP18" s="68"/>
      <c r="AQ18" s="64">
        <f>WEEKDAY(Sheet_1_Table_1_133[[#This Row],[Lesson 2
Date 
(DD-MMM-YYYY)]]
)</f>
        <v>7</v>
      </c>
      <c r="AR18" s="65"/>
      <c r="AS18" s="66"/>
      <c r="AT18" s="66"/>
      <c r="AU18" s="63"/>
      <c r="AV18" s="165" t="e">
        <f>WEEKDAY([5]!Sheet_1_Table_1_13[[#This Row],[Lesson 3
Date 
(DD-MMM-YYYY)]])</f>
        <v>#REF!</v>
      </c>
      <c r="AW18" s="65"/>
      <c r="AX18" s="66"/>
      <c r="AY18" s="67"/>
      <c r="AZ18" s="68"/>
      <c r="BA18" s="64" t="e">
        <f>WEEKDAY([5]!Sheet_1_Table_1_13[[#This Row],[Lesson 4
Date 
(DD-MMM-YYYY)]])</f>
        <v>#REF!</v>
      </c>
      <c r="BB18" s="65"/>
      <c r="BC18" s="66"/>
      <c r="BD18" s="66"/>
      <c r="BE18" s="63"/>
      <c r="BF18" s="165" t="e">
        <f>WEEKDAY([5]!Sheet_1_Table_1_13[[#This Row],[Lesson 5
Date 
(DD-MMM-YYYY)]])</f>
        <v>#REF!</v>
      </c>
      <c r="BG18" s="65"/>
      <c r="BH18" s="66"/>
      <c r="BI18" s="67"/>
      <c r="BJ18" s="68"/>
      <c r="BK18" s="165" t="e">
        <f>WEEKDAY([5]!Sheet_1_Table_1_13[[#This Row],[Lesson 6
Date 
(DD-MMM-YYYY)]])</f>
        <v>#REF!</v>
      </c>
      <c r="BL18" s="65"/>
      <c r="BM18" s="66"/>
      <c r="BN18" s="66"/>
      <c r="BO18" s="54"/>
      <c r="BP18" s="69" t="s">
        <v>1572</v>
      </c>
      <c r="BQ18" s="55"/>
      <c r="BR18" s="57"/>
      <c r="BS18" s="52"/>
      <c r="BT18" s="56"/>
      <c r="BU18" s="56"/>
      <c r="BV18" s="70"/>
      <c r="BW18" s="60">
        <v>0</v>
      </c>
      <c r="BX18" s="71"/>
      <c r="BY18" s="56" t="s">
        <v>149</v>
      </c>
      <c r="BZ18" s="56"/>
      <c r="CA18" s="56" t="s">
        <v>149</v>
      </c>
      <c r="CB18" s="72"/>
      <c r="CC18" s="72"/>
      <c r="CD18" s="71"/>
      <c r="CE18" s="693" t="s">
        <v>793</v>
      </c>
      <c r="CF18" s="704" t="s">
        <v>794</v>
      </c>
      <c r="CG18" s="695" t="s">
        <v>795</v>
      </c>
      <c r="CH18" s="700" t="s">
        <v>796</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N18" s="790"/>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25</v>
      </c>
      <c r="B19" s="49">
        <v>202609</v>
      </c>
      <c r="C19" s="50" t="s">
        <v>1573</v>
      </c>
      <c r="D19" s="50" t="s">
        <v>1574</v>
      </c>
      <c r="E19" s="51">
        <v>5801</v>
      </c>
      <c r="F19" s="52" t="s">
        <v>802</v>
      </c>
      <c r="G19" s="53"/>
      <c r="H19" s="52"/>
      <c r="I19" s="70"/>
      <c r="J19" s="701" t="s">
        <v>1575</v>
      </c>
      <c r="K19" s="694" t="s">
        <v>1576</v>
      </c>
      <c r="L19" s="694"/>
      <c r="M19" s="695" t="s">
        <v>1577</v>
      </c>
      <c r="N19" s="703" t="s">
        <v>1578</v>
      </c>
      <c r="O19" s="78" t="s">
        <v>146</v>
      </c>
      <c r="P19" s="59" t="s">
        <v>146</v>
      </c>
      <c r="Q19" s="60" t="s">
        <v>1462</v>
      </c>
      <c r="R19" s="77" t="e">
        <f>VLOOKUP([2]!Sheet_1_Table_1_13[[#This Row],[Learning Domain]],[2]List!$A$7:$B$12,2,0)</f>
        <v>#REF!</v>
      </c>
      <c r="S19" s="55">
        <v>0</v>
      </c>
      <c r="T19" s="55">
        <v>0</v>
      </c>
      <c r="U19" s="55">
        <v>25</v>
      </c>
      <c r="V19" s="55">
        <v>25</v>
      </c>
      <c r="W19" s="55">
        <v>0</v>
      </c>
      <c r="X19" s="55">
        <v>50</v>
      </c>
      <c r="Y19" s="55">
        <v>0</v>
      </c>
      <c r="Z19" s="55">
        <v>0</v>
      </c>
      <c r="AA19" s="55">
        <v>0</v>
      </c>
      <c r="AB19" s="53" t="e">
        <f>SUM([2]!Sheet_1_Table_1_13[[#This Row],[Leadership LS]:[Career Development  CR]])</f>
        <v>#REF!</v>
      </c>
      <c r="AC19" s="52" t="s">
        <v>199</v>
      </c>
      <c r="AD19" s="55" t="s">
        <v>190</v>
      </c>
      <c r="AE19" s="55" t="s">
        <v>142</v>
      </c>
      <c r="AF19" s="55" t="s">
        <v>146</v>
      </c>
      <c r="AG19" s="55" t="s">
        <v>142</v>
      </c>
      <c r="AH19" s="55">
        <v>6</v>
      </c>
      <c r="AI19" s="55">
        <v>40</v>
      </c>
      <c r="AJ19" s="62">
        <f>SUM(Sheet_1_Table_1_133[[#This Row],[ILP Units Per Session]]*Sheet_1_Table_1_133[[#This Row],[Quota]])</f>
        <v>240</v>
      </c>
      <c r="AK19" s="63">
        <v>46309</v>
      </c>
      <c r="AL19" s="64">
        <f>WEEKDAY(Sheet_1_Table_1_133[[#This Row],[Lesson 1 
Date 
(DD-MMM-YYYY)]])</f>
        <v>4</v>
      </c>
      <c r="AM19" s="65">
        <v>0.77083333333333337</v>
      </c>
      <c r="AN19" s="66">
        <v>0.89583333333333337</v>
      </c>
      <c r="AO19" s="67" t="s">
        <v>1181</v>
      </c>
      <c r="AP19" s="68">
        <v>46316</v>
      </c>
      <c r="AQ19" s="64">
        <f>WEEKDAY(Sheet_1_Table_1_133[[#This Row],[Lesson 2
Date 
(DD-MMM-YYYY)]]
)</f>
        <v>4</v>
      </c>
      <c r="AR19" s="65">
        <v>0.77083333333333337</v>
      </c>
      <c r="AS19" s="66">
        <v>0.89583333333333337</v>
      </c>
      <c r="AT19" s="66" t="s">
        <v>2235</v>
      </c>
      <c r="AU19" s="63"/>
      <c r="AV19" s="64" t="e">
        <f>WEEKDAY([5]!Sheet_1_Table_1_13[[#This Row],[Lesson 3
Date 
(DD-MMM-YYYY)]])</f>
        <v>#REF!</v>
      </c>
      <c r="AW19" s="65"/>
      <c r="AX19" s="66"/>
      <c r="AY19" s="67"/>
      <c r="AZ19" s="68"/>
      <c r="BA19" s="64" t="e">
        <f>WEEKDAY([5]!Sheet_1_Table_1_13[[#This Row],[Lesson 4
Date 
(DD-MMM-YYYY)]])</f>
        <v>#REF!</v>
      </c>
      <c r="BB19" s="65"/>
      <c r="BC19" s="66"/>
      <c r="BD19" s="66"/>
      <c r="BE19" s="63"/>
      <c r="BF19" s="64" t="e">
        <f>WEEKDAY([5]!Sheet_1_Table_1_13[[#This Row],[Lesson 5
Date 
(DD-MMM-YYYY)]])</f>
        <v>#REF!</v>
      </c>
      <c r="BG19" s="65"/>
      <c r="BH19" s="66"/>
      <c r="BI19" s="67"/>
      <c r="BJ19" s="68"/>
      <c r="BK19" s="64" t="e">
        <f>WEEKDAY([5]!Sheet_1_Table_1_13[[#This Row],[Lesson 6
Date 
(DD-MMM-YYYY)]])</f>
        <v>#REF!</v>
      </c>
      <c r="BL19" s="65"/>
      <c r="BM19" s="66"/>
      <c r="BN19" s="66"/>
      <c r="BO19" s="54" t="s">
        <v>163</v>
      </c>
      <c r="BP19" s="705" t="s">
        <v>1579</v>
      </c>
      <c r="BQ19" s="706" t="s">
        <v>1580</v>
      </c>
      <c r="BR19" s="703" t="s">
        <v>1581</v>
      </c>
      <c r="BS19" s="52" t="s">
        <v>163</v>
      </c>
      <c r="BT19" s="705" t="s">
        <v>1582</v>
      </c>
      <c r="BU19" s="706" t="s">
        <v>1562</v>
      </c>
      <c r="BV19" s="696" t="s">
        <v>1583</v>
      </c>
      <c r="BW19" s="60">
        <v>0</v>
      </c>
      <c r="BX19" s="71"/>
      <c r="BY19" s="56" t="s">
        <v>184</v>
      </c>
      <c r="BZ19" s="56"/>
      <c r="CA19" s="56" t="s">
        <v>184</v>
      </c>
      <c r="CB19" s="72"/>
      <c r="CC19" s="72"/>
      <c r="CD19" s="71"/>
      <c r="CE19" s="693" t="s">
        <v>793</v>
      </c>
      <c r="CF19" s="704" t="s">
        <v>794</v>
      </c>
      <c r="CG19" s="695" t="s">
        <v>795</v>
      </c>
      <c r="CH19" s="700" t="s">
        <v>796</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N19" s="790" t="s">
        <v>2237</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26</v>
      </c>
      <c r="B20" s="49">
        <v>202609</v>
      </c>
      <c r="C20" s="169" t="s">
        <v>1584</v>
      </c>
      <c r="D20" s="170" t="s">
        <v>133</v>
      </c>
      <c r="E20" s="171">
        <v>5908</v>
      </c>
      <c r="F20" s="172" t="s">
        <v>328</v>
      </c>
      <c r="G20" s="171" t="s">
        <v>157</v>
      </c>
      <c r="H20" s="675"/>
      <c r="I20" s="676"/>
      <c r="J20" s="173" t="s">
        <v>1585</v>
      </c>
      <c r="K20" s="174" t="s">
        <v>1586</v>
      </c>
      <c r="L20" s="174"/>
      <c r="M20" s="175" t="s">
        <v>1587</v>
      </c>
      <c r="N20" s="176" t="s">
        <v>1588</v>
      </c>
      <c r="O20" s="162" t="s">
        <v>142</v>
      </c>
      <c r="P20" s="178" t="s">
        <v>142</v>
      </c>
      <c r="Q20" s="173" t="s">
        <v>1462</v>
      </c>
      <c r="R20" s="170" t="e">
        <f>VLOOKUP([5]!Sheet_1_Table_1_13[[#This Row],[Learning Domain]],[5]List!$A$7:$B$12,2,0)</f>
        <v>#REF!</v>
      </c>
      <c r="S20" s="174">
        <v>0</v>
      </c>
      <c r="T20" s="174">
        <v>0</v>
      </c>
      <c r="U20" s="174">
        <v>0</v>
      </c>
      <c r="V20" s="174">
        <v>50</v>
      </c>
      <c r="W20" s="174">
        <v>0</v>
      </c>
      <c r="X20" s="174">
        <v>50</v>
      </c>
      <c r="Y20" s="174">
        <v>0</v>
      </c>
      <c r="Z20" s="174">
        <v>0</v>
      </c>
      <c r="AA20" s="174">
        <v>0</v>
      </c>
      <c r="AB20" s="171" t="e">
        <f>SUM([5]!Sheet_1_Table_1_13[[#This Row],[Leadership LS]:[Career Development  CR]])</f>
        <v>#REF!</v>
      </c>
      <c r="AC20" s="172" t="s">
        <v>199</v>
      </c>
      <c r="AD20" s="174" t="s">
        <v>190</v>
      </c>
      <c r="AE20" s="174" t="s">
        <v>142</v>
      </c>
      <c r="AF20" s="174" t="s">
        <v>146</v>
      </c>
      <c r="AG20" s="174" t="s">
        <v>142</v>
      </c>
      <c r="AH20" s="174">
        <v>2</v>
      </c>
      <c r="AI20" s="174">
        <v>30</v>
      </c>
      <c r="AJ20" s="62">
        <f>SUM(Sheet_1_Table_1_133[[#This Row],[ILP Units Per Session]]*Sheet_1_Table_1_133[[#This Row],[Quota]])</f>
        <v>60</v>
      </c>
      <c r="AK20" s="179">
        <v>46359</v>
      </c>
      <c r="AL20" s="180">
        <f>WEEKDAY(Sheet_1_Table_1_133[[#This Row],[Lesson 1 
Date 
(DD-MMM-YYYY)]])</f>
        <v>5</v>
      </c>
      <c r="AM20" s="181">
        <v>0.58333333333333337</v>
      </c>
      <c r="AN20" s="182">
        <v>0.66666666666666663</v>
      </c>
      <c r="AO20" s="183" t="s">
        <v>1589</v>
      </c>
      <c r="AP20" s="184"/>
      <c r="AQ20" s="180">
        <f>WEEKDAY(Sheet_1_Table_1_133[[#This Row],[Lesson 2
Date 
(DD-MMM-YYYY)]]
)</f>
        <v>7</v>
      </c>
      <c r="AR20" s="181"/>
      <c r="AS20" s="182"/>
      <c r="AT20" s="182"/>
      <c r="AU20" s="179"/>
      <c r="AV20" s="180" t="e">
        <f>WEEKDAY([5]!Sheet_1_Table_1_13[[#This Row],[Lesson 3
Date 
(DD-MMM-YYYY)]])</f>
        <v>#REF!</v>
      </c>
      <c r="AW20" s="181"/>
      <c r="AX20" s="182"/>
      <c r="AY20" s="183"/>
      <c r="AZ20" s="184"/>
      <c r="BA20" s="180" t="e">
        <f>WEEKDAY([5]!Sheet_1_Table_1_13[[#This Row],[Lesson 4
Date 
(DD-MMM-YYYY)]])</f>
        <v>#REF!</v>
      </c>
      <c r="BB20" s="181"/>
      <c r="BC20" s="182"/>
      <c r="BD20" s="182"/>
      <c r="BE20" s="179"/>
      <c r="BF20" s="180" t="e">
        <f>WEEKDAY([5]!Sheet_1_Table_1_13[[#This Row],[Lesson 5
Date 
(DD-MMM-YYYY)]])</f>
        <v>#REF!</v>
      </c>
      <c r="BG20" s="181"/>
      <c r="BH20" s="182"/>
      <c r="BI20" s="183"/>
      <c r="BJ20" s="184"/>
      <c r="BK20" s="180" t="e">
        <f>WEEKDAY([5]!Sheet_1_Table_1_13[[#This Row],[Lesson 6
Date 
(DD-MMM-YYYY)]])</f>
        <v>#REF!</v>
      </c>
      <c r="BL20" s="181"/>
      <c r="BM20" s="182"/>
      <c r="BN20" s="182"/>
      <c r="BO20" s="185" t="s">
        <v>163</v>
      </c>
      <c r="BP20" s="186" t="s">
        <v>1590</v>
      </c>
      <c r="BQ20" s="174" t="s">
        <v>1591</v>
      </c>
      <c r="BR20" s="176" t="s">
        <v>1592</v>
      </c>
      <c r="BS20" s="172"/>
      <c r="BT20" s="175"/>
      <c r="BU20" s="175"/>
      <c r="BV20" s="753"/>
      <c r="BW20" s="173">
        <v>0</v>
      </c>
      <c r="BX20" s="196">
        <v>100</v>
      </c>
      <c r="BY20" s="754"/>
      <c r="BZ20" s="175"/>
      <c r="CA20" s="175" t="s">
        <v>1593</v>
      </c>
      <c r="CB20" s="195"/>
      <c r="CC20" s="195"/>
      <c r="CD20" s="196"/>
      <c r="CE20" s="173" t="s">
        <v>342</v>
      </c>
      <c r="CF20" s="755" t="s">
        <v>343</v>
      </c>
      <c r="CG20" s="175" t="s">
        <v>344</v>
      </c>
      <c r="CH20" s="756" t="s">
        <v>345</v>
      </c>
      <c r="CI20" s="172" t="s">
        <v>146</v>
      </c>
      <c r="CJ20" s="172" t="s">
        <v>142</v>
      </c>
      <c r="CK20" s="172" t="s">
        <v>142</v>
      </c>
      <c r="CL20" s="172" t="s">
        <v>142</v>
      </c>
      <c r="CM20" s="172" t="s">
        <v>142</v>
      </c>
      <c r="CN20" s="172" t="s">
        <v>142</v>
      </c>
      <c r="CO20" s="172" t="s">
        <v>142</v>
      </c>
      <c r="CP20" s="172" t="s">
        <v>142</v>
      </c>
      <c r="CQ20" s="172" t="s">
        <v>142</v>
      </c>
      <c r="CR20" s="172" t="s">
        <v>142</v>
      </c>
      <c r="CS20" s="172" t="s">
        <v>142</v>
      </c>
      <c r="CT20" s="172" t="s">
        <v>146</v>
      </c>
      <c r="CU20" s="172" t="s">
        <v>142</v>
      </c>
      <c r="CV20" s="172" t="s">
        <v>142</v>
      </c>
      <c r="CW20" s="172" t="s">
        <v>146</v>
      </c>
      <c r="CX20" s="172" t="s">
        <v>142</v>
      </c>
      <c r="CY20" s="172" t="s">
        <v>142</v>
      </c>
      <c r="CZ20" s="178" t="s">
        <v>146</v>
      </c>
      <c r="DA20" s="185" t="s">
        <v>154</v>
      </c>
      <c r="DB20" s="170" t="s">
        <v>155</v>
      </c>
      <c r="DC20" s="170" t="s">
        <v>156</v>
      </c>
      <c r="DD20" s="170" t="s">
        <v>146</v>
      </c>
      <c r="DE20" s="170" t="s">
        <v>157</v>
      </c>
      <c r="DF20" s="170" t="s">
        <v>146</v>
      </c>
      <c r="DG20" s="757"/>
      <c r="DH20" s="757"/>
      <c r="DI20" s="758"/>
      <c r="DJ20" s="757"/>
      <c r="DK20" s="76" t="s">
        <v>146</v>
      </c>
      <c r="DL20" s="76" t="s">
        <v>146</v>
      </c>
      <c r="DM20" s="76" t="s">
        <v>146</v>
      </c>
      <c r="DN20" s="790"/>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27</v>
      </c>
      <c r="B21" s="49"/>
      <c r="C21" s="50"/>
      <c r="D21" s="50"/>
      <c r="E21" s="51"/>
      <c r="F21" s="52"/>
      <c r="G21" s="53"/>
      <c r="H21" s="136"/>
      <c r="I21" s="137"/>
      <c r="J21" s="60"/>
      <c r="K21" s="56"/>
      <c r="L21" s="55"/>
      <c r="M21" s="56" t="s">
        <v>424</v>
      </c>
      <c r="N21" s="57"/>
      <c r="O21" s="114"/>
      <c r="P21" s="96"/>
      <c r="Q21" s="60"/>
      <c r="R21" s="77" t="e">
        <f>VLOOKUP(Sheet_1_Table_1_133[[#This Row],[Learning Domain]],[14]List!$A$7:$B$12,2,0)</f>
        <v>#N/A</v>
      </c>
      <c r="S21" s="55">
        <v>0</v>
      </c>
      <c r="T21" s="55">
        <v>0</v>
      </c>
      <c r="U21" s="55">
        <v>0</v>
      </c>
      <c r="V21" s="55">
        <v>0</v>
      </c>
      <c r="W21" s="55">
        <v>0</v>
      </c>
      <c r="X21" s="55">
        <v>0</v>
      </c>
      <c r="Y21" s="55">
        <v>0</v>
      </c>
      <c r="Z21" s="55">
        <v>0</v>
      </c>
      <c r="AA21" s="55">
        <v>0</v>
      </c>
      <c r="AB21" s="53">
        <f>SUM(Sheet_1_Table_1_133[[#This Row],[Leadership LS]:[Career Development  CR]])</f>
        <v>0</v>
      </c>
      <c r="AC21" s="97"/>
      <c r="AD21" s="55"/>
      <c r="AE21" s="55" t="s">
        <v>142</v>
      </c>
      <c r="AF21" s="55" t="s">
        <v>142</v>
      </c>
      <c r="AG21" s="55" t="s">
        <v>142</v>
      </c>
      <c r="AH21" s="55"/>
      <c r="AI21" s="55"/>
      <c r="AJ21" s="62">
        <f>Sheet_1_Table_1_133[[#This Row],[ILP Units Per Session]]*Sheet_1_Table_1_133[[#This Row],[Quota]]</f>
        <v>0</v>
      </c>
      <c r="AK21" s="63"/>
      <c r="AL21" s="64">
        <f>WEEKDAY(Sheet_1_Table_1_133[[#This Row],[Lesson 1 
Date 
(DD-MMM-YYYY)]])</f>
        <v>7</v>
      </c>
      <c r="AM21" s="65"/>
      <c r="AN21" s="66"/>
      <c r="AO21" s="67"/>
      <c r="AP21" s="68"/>
      <c r="AQ21" s="64">
        <f>WEEKDAY(Sheet_1_Table_1_133[[#This Row],[Lesson 2
Date 
(DD-MMM-YYYY)]]
)</f>
        <v>7</v>
      </c>
      <c r="AR21" s="65"/>
      <c r="AS21" s="66"/>
      <c r="AT21" s="126"/>
      <c r="AU21" s="63"/>
      <c r="AV21" s="64" t="e">
        <f>WEEKDAY([5]!Sheet_1_Table_1_13[[#This Row],[Lesson 3
Date 
(DD-MMM-YYYY)]])</f>
        <v>#REF!</v>
      </c>
      <c r="AW21" s="65"/>
      <c r="AX21" s="66"/>
      <c r="AY21" s="126"/>
      <c r="AZ21" s="98"/>
      <c r="BA21" s="64" t="e">
        <f>WEEKDAY([5]!Sheet_1_Table_1_13[[#This Row],[Lesson 4
Date 
(DD-MMM-YYYY)]])</f>
        <v>#REF!</v>
      </c>
      <c r="BB21" s="65"/>
      <c r="BC21" s="66"/>
      <c r="BD21" s="126"/>
      <c r="BE21" s="63"/>
      <c r="BF21" s="64" t="e">
        <f>WEEKDAY([5]!Sheet_1_Table_1_13[[#This Row],[Lesson 5
Date 
(DD-MMM-YYYY)]])</f>
        <v>#REF!</v>
      </c>
      <c r="BG21" s="65"/>
      <c r="BH21" s="66"/>
      <c r="BI21" s="126"/>
      <c r="BJ21" s="98"/>
      <c r="BK21" s="64" t="e">
        <f>WEEKDAY([5]!Sheet_1_Table_1_13[[#This Row],[Lesson 6
Date 
(DD-MMM-YYYY)]])</f>
        <v>#REF!</v>
      </c>
      <c r="BL21" s="65"/>
      <c r="BM21" s="66"/>
      <c r="BN21" s="99"/>
      <c r="BO21" s="54"/>
      <c r="BP21" s="69"/>
      <c r="BQ21" s="55"/>
      <c r="BR21" s="57"/>
      <c r="BS21" s="54"/>
      <c r="BT21" s="56"/>
      <c r="BU21" s="56"/>
      <c r="BV21" s="57"/>
      <c r="BW21" s="60"/>
      <c r="BX21" s="187"/>
      <c r="BY21" s="56"/>
      <c r="BZ21" s="56"/>
      <c r="CA21" s="56"/>
      <c r="CB21" s="72"/>
      <c r="CC21" s="72"/>
      <c r="CD21" s="72"/>
      <c r="CE21" s="60"/>
      <c r="CF21" s="72"/>
      <c r="CG21" s="56"/>
      <c r="CH21" s="57"/>
      <c r="CI21" s="52" t="s">
        <v>142</v>
      </c>
      <c r="CJ21" s="52" t="s">
        <v>142</v>
      </c>
      <c r="CK21" s="52" t="s">
        <v>142</v>
      </c>
      <c r="CL21" s="52" t="s">
        <v>142</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N21" s="790"/>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28</v>
      </c>
      <c r="B22" s="49"/>
      <c r="C22" s="50"/>
      <c r="D22" s="50"/>
      <c r="E22" s="51"/>
      <c r="F22" s="52"/>
      <c r="G22" s="53"/>
      <c r="H22" s="136"/>
      <c r="I22" s="137"/>
      <c r="J22" s="60"/>
      <c r="K22" s="56"/>
      <c r="L22" s="55"/>
      <c r="M22" s="56" t="s">
        <v>424</v>
      </c>
      <c r="N22" s="57"/>
      <c r="O22" s="114"/>
      <c r="P22" s="96"/>
      <c r="Q22" s="60"/>
      <c r="R22" s="61" t="e">
        <f>VLOOKUP(Sheet_1_Table_1_133[[#This Row],[Learning Domain]],[14]List!$A$7:$B$12,2,0)</f>
        <v>#N/A</v>
      </c>
      <c r="S22" s="55">
        <v>0</v>
      </c>
      <c r="T22" s="55">
        <v>0</v>
      </c>
      <c r="U22" s="55">
        <v>0</v>
      </c>
      <c r="V22" s="55">
        <v>0</v>
      </c>
      <c r="W22" s="55">
        <v>0</v>
      </c>
      <c r="X22" s="55">
        <v>0</v>
      </c>
      <c r="Y22" s="55">
        <v>0</v>
      </c>
      <c r="Z22" s="55">
        <v>0</v>
      </c>
      <c r="AA22" s="55">
        <v>0</v>
      </c>
      <c r="AB22" s="53">
        <f>SUM(Sheet_1_Table_1_133[[#This Row],[Leadership LS]:[Career Development  CR]])</f>
        <v>0</v>
      </c>
      <c r="AC22" s="97"/>
      <c r="AD22" s="55"/>
      <c r="AE22" s="55" t="s">
        <v>142</v>
      </c>
      <c r="AF22" s="55" t="s">
        <v>142</v>
      </c>
      <c r="AG22" s="55" t="s">
        <v>142</v>
      </c>
      <c r="AH22" s="55"/>
      <c r="AI22" s="55"/>
      <c r="AJ22" s="62">
        <f>Sheet_1_Table_1_133[[#This Row],[ILP Units Per Session]]*Sheet_1_Table_1_133[[#This Row],[Quota]]</f>
        <v>0</v>
      </c>
      <c r="AK22" s="63"/>
      <c r="AL22" s="64">
        <f>WEEKDAY(Sheet_1_Table_1_133[[#This Row],[Lesson 1 
Date 
(DD-MMM-YYYY)]])</f>
        <v>7</v>
      </c>
      <c r="AM22" s="65"/>
      <c r="AN22" s="66"/>
      <c r="AO22" s="67"/>
      <c r="AP22" s="68"/>
      <c r="AQ22" s="64">
        <f>WEEKDAY(Sheet_1_Table_1_133[[#This Row],[Lesson 2
Date 
(DD-MMM-YYYY)]]
)</f>
        <v>7</v>
      </c>
      <c r="AR22" s="65"/>
      <c r="AS22" s="66"/>
      <c r="AT22" s="126"/>
      <c r="AU22" s="63"/>
      <c r="AV22" s="64" t="e">
        <f>WEEKDAY([5]!Sheet_1_Table_1_13[[#This Row],[Lesson 3
Date 
(DD-MMM-YYYY)]])</f>
        <v>#REF!</v>
      </c>
      <c r="AW22" s="65"/>
      <c r="AX22" s="66"/>
      <c r="AY22" s="126"/>
      <c r="AZ22" s="98"/>
      <c r="BA22" s="64" t="e">
        <f>WEEKDAY([5]!Sheet_1_Table_1_13[[#This Row],[Lesson 4
Date 
(DD-MMM-YYYY)]])</f>
        <v>#REF!</v>
      </c>
      <c r="BB22" s="65"/>
      <c r="BC22" s="66"/>
      <c r="BD22" s="126"/>
      <c r="BE22" s="63"/>
      <c r="BF22" s="64" t="e">
        <f>WEEKDAY([5]!Sheet_1_Table_1_13[[#This Row],[Lesson 5
Date 
(DD-MMM-YYYY)]])</f>
        <v>#REF!</v>
      </c>
      <c r="BG22" s="65"/>
      <c r="BH22" s="66"/>
      <c r="BI22" s="126"/>
      <c r="BJ22" s="98"/>
      <c r="BK22" s="64" t="e">
        <f>WEEKDAY([5]!Sheet_1_Table_1_13[[#This Row],[Lesson 6
Date 
(DD-MMM-YYYY)]])</f>
        <v>#REF!</v>
      </c>
      <c r="BL22" s="65"/>
      <c r="BM22" s="66"/>
      <c r="BN22" s="99"/>
      <c r="BO22" s="54"/>
      <c r="BP22" s="69"/>
      <c r="BQ22" s="55"/>
      <c r="BR22" s="57"/>
      <c r="BS22" s="54"/>
      <c r="BT22" s="56"/>
      <c r="BU22" s="56"/>
      <c r="BV22" s="57"/>
      <c r="BW22" s="60"/>
      <c r="BX22" s="187"/>
      <c r="BY22" s="56"/>
      <c r="BZ22" s="56"/>
      <c r="CA22" s="56"/>
      <c r="CB22" s="72"/>
      <c r="CC22" s="72"/>
      <c r="CD22" s="72"/>
      <c r="CE22" s="60"/>
      <c r="CF22" s="72"/>
      <c r="CG22" s="56"/>
      <c r="CH22" s="57"/>
      <c r="CI22" s="52" t="s">
        <v>142</v>
      </c>
      <c r="CJ22" s="52" t="s">
        <v>142</v>
      </c>
      <c r="CK22" s="52" t="s">
        <v>142</v>
      </c>
      <c r="CL22" s="52" t="s">
        <v>142</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N22" s="790"/>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29</v>
      </c>
      <c r="B23" s="49"/>
      <c r="C23" s="50"/>
      <c r="D23" s="50"/>
      <c r="E23" s="51"/>
      <c r="F23" s="52"/>
      <c r="G23" s="53"/>
      <c r="H23" s="136"/>
      <c r="I23" s="137"/>
      <c r="J23" s="60"/>
      <c r="K23" s="56"/>
      <c r="L23" s="55"/>
      <c r="M23" s="56" t="s">
        <v>424</v>
      </c>
      <c r="N23" s="57"/>
      <c r="O23" s="114"/>
      <c r="P23" s="96"/>
      <c r="Q23" s="60"/>
      <c r="R23" s="77" t="e">
        <f>VLOOKUP(Sheet_1_Table_1_133[[#This Row],[Learning Domain]],[14]List!$A$7:$B$12,2,0)</f>
        <v>#N/A</v>
      </c>
      <c r="S23" s="55">
        <v>0</v>
      </c>
      <c r="T23" s="55">
        <v>0</v>
      </c>
      <c r="U23" s="55">
        <v>0</v>
      </c>
      <c r="V23" s="55">
        <v>0</v>
      </c>
      <c r="W23" s="55">
        <v>0</v>
      </c>
      <c r="X23" s="55">
        <v>0</v>
      </c>
      <c r="Y23" s="55">
        <v>0</v>
      </c>
      <c r="Z23" s="55">
        <v>0</v>
      </c>
      <c r="AA23" s="55">
        <v>0</v>
      </c>
      <c r="AB23" s="53">
        <f>SUM(Sheet_1_Table_1_133[[#This Row],[Leadership LS]:[Career Development  CR]])</f>
        <v>0</v>
      </c>
      <c r="AC23" s="97"/>
      <c r="AD23" s="55"/>
      <c r="AE23" s="55" t="s">
        <v>142</v>
      </c>
      <c r="AF23" s="55" t="s">
        <v>142</v>
      </c>
      <c r="AG23" s="55" t="s">
        <v>142</v>
      </c>
      <c r="AH23" s="55"/>
      <c r="AI23" s="55"/>
      <c r="AJ23" s="62">
        <f>Sheet_1_Table_1_133[[#This Row],[ILP Units Per Session]]*Sheet_1_Table_1_133[[#This Row],[Quota]]</f>
        <v>0</v>
      </c>
      <c r="AK23" s="63"/>
      <c r="AL23" s="64">
        <f>WEEKDAY(Sheet_1_Table_1_133[[#This Row],[Lesson 1 
Date 
(DD-MMM-YYYY)]])</f>
        <v>7</v>
      </c>
      <c r="AM23" s="65"/>
      <c r="AN23" s="66"/>
      <c r="AO23" s="67"/>
      <c r="AP23" s="68"/>
      <c r="AQ23" s="64">
        <f>WEEKDAY(Sheet_1_Table_1_133[[#This Row],[Lesson 2
Date 
(DD-MMM-YYYY)]]
)</f>
        <v>7</v>
      </c>
      <c r="AR23" s="65"/>
      <c r="AS23" s="66"/>
      <c r="AT23" s="126"/>
      <c r="AU23" s="63"/>
      <c r="AV23" s="64" t="e">
        <f>WEEKDAY([5]!Sheet_1_Table_1_13[[#This Row],[Lesson 3
Date 
(DD-MMM-YYYY)]])</f>
        <v>#REF!</v>
      </c>
      <c r="AW23" s="65"/>
      <c r="AX23" s="66"/>
      <c r="AY23" s="126"/>
      <c r="AZ23" s="98"/>
      <c r="BA23" s="64" t="e">
        <f>WEEKDAY([5]!Sheet_1_Table_1_13[[#This Row],[Lesson 4
Date 
(DD-MMM-YYYY)]])</f>
        <v>#REF!</v>
      </c>
      <c r="BB23" s="65"/>
      <c r="BC23" s="66"/>
      <c r="BD23" s="126"/>
      <c r="BE23" s="63"/>
      <c r="BF23" s="64" t="e">
        <f>WEEKDAY([5]!Sheet_1_Table_1_13[[#This Row],[Lesson 5
Date 
(DD-MMM-YYYY)]])</f>
        <v>#REF!</v>
      </c>
      <c r="BG23" s="65"/>
      <c r="BH23" s="66"/>
      <c r="BI23" s="126"/>
      <c r="BJ23" s="98"/>
      <c r="BK23" s="64" t="e">
        <f>WEEKDAY([5]!Sheet_1_Table_1_13[[#This Row],[Lesson 6
Date 
(DD-MMM-YYYY)]])</f>
        <v>#REF!</v>
      </c>
      <c r="BL23" s="65"/>
      <c r="BM23" s="66"/>
      <c r="BN23" s="99"/>
      <c r="BO23" s="54"/>
      <c r="BP23" s="69"/>
      <c r="BQ23" s="55"/>
      <c r="BR23" s="57"/>
      <c r="BS23" s="54"/>
      <c r="BT23" s="56"/>
      <c r="BU23" s="56"/>
      <c r="BV23" s="57"/>
      <c r="BW23" s="60"/>
      <c r="BX23" s="187"/>
      <c r="BY23" s="56"/>
      <c r="BZ23" s="56"/>
      <c r="CA23" s="56"/>
      <c r="CB23" s="72"/>
      <c r="CC23" s="72"/>
      <c r="CD23" s="72"/>
      <c r="CE23" s="60"/>
      <c r="CF23" s="72"/>
      <c r="CG23" s="56"/>
      <c r="CH23" s="57"/>
      <c r="CI23" s="52" t="s">
        <v>142</v>
      </c>
      <c r="CJ23" s="52" t="s">
        <v>142</v>
      </c>
      <c r="CK23" s="52" t="s">
        <v>142</v>
      </c>
      <c r="CL23" s="52" t="s">
        <v>142</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N23" s="790"/>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30</v>
      </c>
      <c r="B24" s="49"/>
      <c r="C24" s="50"/>
      <c r="D24" s="50"/>
      <c r="E24" s="51"/>
      <c r="F24" s="52"/>
      <c r="G24" s="53"/>
      <c r="H24" s="136"/>
      <c r="I24" s="137"/>
      <c r="J24" s="60"/>
      <c r="K24" s="56"/>
      <c r="L24" s="55"/>
      <c r="M24" s="56" t="s">
        <v>424</v>
      </c>
      <c r="N24" s="57"/>
      <c r="O24" s="114"/>
      <c r="P24" s="96"/>
      <c r="Q24" s="60"/>
      <c r="R24" s="61" t="e">
        <f>VLOOKUP(Sheet_1_Table_1_133[[#This Row],[Learning Domain]],[14]List!$A$7:$B$12,2,0)</f>
        <v>#N/A</v>
      </c>
      <c r="S24" s="55">
        <v>0</v>
      </c>
      <c r="T24" s="55">
        <v>0</v>
      </c>
      <c r="U24" s="55">
        <v>0</v>
      </c>
      <c r="V24" s="55">
        <v>0</v>
      </c>
      <c r="W24" s="55">
        <v>0</v>
      </c>
      <c r="X24" s="55">
        <v>0</v>
      </c>
      <c r="Y24" s="55">
        <v>0</v>
      </c>
      <c r="Z24" s="55">
        <v>0</v>
      </c>
      <c r="AA24" s="55">
        <v>0</v>
      </c>
      <c r="AB24" s="53">
        <f>SUM(Sheet_1_Table_1_133[[#This Row],[Leadership LS]:[Career Development  CR]])</f>
        <v>0</v>
      </c>
      <c r="AC24" s="97"/>
      <c r="AD24" s="55"/>
      <c r="AE24" s="55" t="s">
        <v>142</v>
      </c>
      <c r="AF24" s="55" t="s">
        <v>142</v>
      </c>
      <c r="AG24" s="55" t="s">
        <v>142</v>
      </c>
      <c r="AH24" s="55"/>
      <c r="AI24" s="55"/>
      <c r="AJ24" s="62">
        <f>Sheet_1_Table_1_133[[#This Row],[ILP Units Per Session]]*Sheet_1_Table_1_133[[#This Row],[Quota]]</f>
        <v>0</v>
      </c>
      <c r="AK24" s="63"/>
      <c r="AL24" s="64">
        <f>WEEKDAY(Sheet_1_Table_1_133[[#This Row],[Lesson 1 
Date 
(DD-MMM-YYYY)]])</f>
        <v>7</v>
      </c>
      <c r="AM24" s="65"/>
      <c r="AN24" s="66"/>
      <c r="AO24" s="67"/>
      <c r="AP24" s="68"/>
      <c r="AQ24" s="64">
        <f>WEEKDAY(Sheet_1_Table_1_133[[#This Row],[Lesson 2
Date 
(DD-MMM-YYYY)]]
)</f>
        <v>7</v>
      </c>
      <c r="AR24" s="65"/>
      <c r="AS24" s="66"/>
      <c r="AT24" s="126"/>
      <c r="AU24" s="63"/>
      <c r="AV24" s="64" t="e">
        <f>WEEKDAY([5]!Sheet_1_Table_1_13[[#This Row],[Lesson 3
Date 
(DD-MMM-YYYY)]])</f>
        <v>#REF!</v>
      </c>
      <c r="AW24" s="65"/>
      <c r="AX24" s="66"/>
      <c r="AY24" s="126"/>
      <c r="AZ24" s="98"/>
      <c r="BA24" s="64" t="e">
        <f>WEEKDAY([5]!Sheet_1_Table_1_13[[#This Row],[Lesson 4
Date 
(DD-MMM-YYYY)]])</f>
        <v>#REF!</v>
      </c>
      <c r="BB24" s="65"/>
      <c r="BC24" s="66"/>
      <c r="BD24" s="126"/>
      <c r="BE24" s="63"/>
      <c r="BF24" s="64" t="e">
        <f>WEEKDAY([5]!Sheet_1_Table_1_13[[#This Row],[Lesson 5
Date 
(DD-MMM-YYYY)]])</f>
        <v>#REF!</v>
      </c>
      <c r="BG24" s="65"/>
      <c r="BH24" s="66"/>
      <c r="BI24" s="126"/>
      <c r="BJ24" s="98"/>
      <c r="BK24" s="64" t="e">
        <f>WEEKDAY([5]!Sheet_1_Table_1_13[[#This Row],[Lesson 6
Date 
(DD-MMM-YYYY)]])</f>
        <v>#REF!</v>
      </c>
      <c r="BL24" s="65"/>
      <c r="BM24" s="66"/>
      <c r="BN24" s="99"/>
      <c r="BO24" s="54"/>
      <c r="BP24" s="69"/>
      <c r="BQ24" s="55"/>
      <c r="BR24" s="57"/>
      <c r="BS24" s="54"/>
      <c r="BT24" s="56"/>
      <c r="BU24" s="56"/>
      <c r="BV24" s="57"/>
      <c r="BW24" s="60"/>
      <c r="BX24" s="187"/>
      <c r="BY24" s="56"/>
      <c r="BZ24" s="56"/>
      <c r="CA24" s="56"/>
      <c r="CB24" s="72"/>
      <c r="CC24" s="72"/>
      <c r="CD24" s="72"/>
      <c r="CE24" s="60"/>
      <c r="CF24" s="72"/>
      <c r="CG24" s="56"/>
      <c r="CH24" s="57"/>
      <c r="CI24" s="52" t="s">
        <v>142</v>
      </c>
      <c r="CJ24" s="52" t="s">
        <v>142</v>
      </c>
      <c r="CK24" s="52" t="s">
        <v>142</v>
      </c>
      <c r="CL24" s="52" t="s">
        <v>142</v>
      </c>
      <c r="CM24" s="52" t="s">
        <v>142</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c r="DH24" s="73"/>
      <c r="DI24" s="74"/>
      <c r="DJ24" s="75"/>
      <c r="DK24" s="76" t="s">
        <v>146</v>
      </c>
      <c r="DL24" s="76" t="s">
        <v>146</v>
      </c>
      <c r="DM24" s="76" t="s">
        <v>146</v>
      </c>
      <c r="DN24" s="790"/>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31</v>
      </c>
      <c r="B25" s="49"/>
      <c r="C25" s="50"/>
      <c r="D25" s="50"/>
      <c r="E25" s="51"/>
      <c r="F25" s="52"/>
      <c r="G25" s="53"/>
      <c r="H25" s="136"/>
      <c r="I25" s="137"/>
      <c r="J25" s="60"/>
      <c r="K25" s="56"/>
      <c r="L25" s="55"/>
      <c r="M25" s="56" t="s">
        <v>424</v>
      </c>
      <c r="N25" s="57"/>
      <c r="O25" s="114"/>
      <c r="P25" s="96"/>
      <c r="Q25" s="60"/>
      <c r="R25" s="77" t="e">
        <f>VLOOKUP(Sheet_1_Table_1_133[[#This Row],[Learning Domain]],[14]List!$A$7:$B$12,2,0)</f>
        <v>#N/A</v>
      </c>
      <c r="S25" s="55">
        <v>0</v>
      </c>
      <c r="T25" s="55">
        <v>0</v>
      </c>
      <c r="U25" s="55">
        <v>0</v>
      </c>
      <c r="V25" s="55">
        <v>0</v>
      </c>
      <c r="W25" s="55">
        <v>0</v>
      </c>
      <c r="X25" s="55">
        <v>0</v>
      </c>
      <c r="Y25" s="55">
        <v>0</v>
      </c>
      <c r="Z25" s="55">
        <v>0</v>
      </c>
      <c r="AA25" s="55">
        <v>0</v>
      </c>
      <c r="AB25" s="53">
        <f>SUM(Sheet_1_Table_1_133[[#This Row],[Leadership LS]:[Career Development  CR]])</f>
        <v>0</v>
      </c>
      <c r="AC25" s="97"/>
      <c r="AD25" s="55"/>
      <c r="AE25" s="55" t="s">
        <v>142</v>
      </c>
      <c r="AF25" s="55" t="s">
        <v>142</v>
      </c>
      <c r="AG25" s="55" t="s">
        <v>142</v>
      </c>
      <c r="AH25" s="55"/>
      <c r="AI25" s="55"/>
      <c r="AJ25" s="62">
        <f>Sheet_1_Table_1_133[[#This Row],[ILP Units Per Session]]*Sheet_1_Table_1_133[[#This Row],[Quota]]</f>
        <v>0</v>
      </c>
      <c r="AK25" s="63"/>
      <c r="AL25" s="64">
        <f>WEEKDAY(Sheet_1_Table_1_133[[#This Row],[Lesson 1 
Date 
(DD-MMM-YYYY)]])</f>
        <v>7</v>
      </c>
      <c r="AM25" s="65"/>
      <c r="AN25" s="66"/>
      <c r="AO25" s="67"/>
      <c r="AP25" s="68"/>
      <c r="AQ25" s="64">
        <f>WEEKDAY(Sheet_1_Table_1_133[[#This Row],[Lesson 2
Date 
(DD-MMM-YYYY)]]
)</f>
        <v>7</v>
      </c>
      <c r="AR25" s="65"/>
      <c r="AS25" s="66"/>
      <c r="AT25" s="126"/>
      <c r="AU25" s="63"/>
      <c r="AV25" s="64" t="e">
        <f>WEEKDAY([5]!Sheet_1_Table_1_13[[#This Row],[Lesson 3
Date 
(DD-MMM-YYYY)]])</f>
        <v>#REF!</v>
      </c>
      <c r="AW25" s="65"/>
      <c r="AX25" s="66"/>
      <c r="AY25" s="126"/>
      <c r="AZ25" s="98"/>
      <c r="BA25" s="64" t="e">
        <f>WEEKDAY([5]!Sheet_1_Table_1_13[[#This Row],[Lesson 4
Date 
(DD-MMM-YYYY)]])</f>
        <v>#REF!</v>
      </c>
      <c r="BB25" s="65"/>
      <c r="BC25" s="66"/>
      <c r="BD25" s="126"/>
      <c r="BE25" s="63"/>
      <c r="BF25" s="64" t="e">
        <f>WEEKDAY([5]!Sheet_1_Table_1_13[[#This Row],[Lesson 5
Date 
(DD-MMM-YYYY)]])</f>
        <v>#REF!</v>
      </c>
      <c r="BG25" s="65"/>
      <c r="BH25" s="66"/>
      <c r="BI25" s="126"/>
      <c r="BJ25" s="98"/>
      <c r="BK25" s="64" t="e">
        <f>WEEKDAY([5]!Sheet_1_Table_1_13[[#This Row],[Lesson 6
Date 
(DD-MMM-YYYY)]])</f>
        <v>#REF!</v>
      </c>
      <c r="BL25" s="65"/>
      <c r="BM25" s="66"/>
      <c r="BN25" s="99"/>
      <c r="BO25" s="54"/>
      <c r="BP25" s="69"/>
      <c r="BQ25" s="55"/>
      <c r="BR25" s="57"/>
      <c r="BS25" s="54"/>
      <c r="BT25" s="56"/>
      <c r="BU25" s="56"/>
      <c r="BV25" s="57"/>
      <c r="BW25" s="60"/>
      <c r="BX25" s="187"/>
      <c r="BY25" s="56"/>
      <c r="BZ25" s="56"/>
      <c r="CA25" s="56"/>
      <c r="CB25" s="72"/>
      <c r="CC25" s="72"/>
      <c r="CD25" s="72"/>
      <c r="CE25" s="60"/>
      <c r="CF25" s="72"/>
      <c r="CG25" s="56"/>
      <c r="CH25" s="57"/>
      <c r="CI25" s="52" t="s">
        <v>142</v>
      </c>
      <c r="CJ25" s="52" t="s">
        <v>142</v>
      </c>
      <c r="CK25" s="52" t="s">
        <v>142</v>
      </c>
      <c r="CL25" s="52" t="s">
        <v>142</v>
      </c>
      <c r="CM25" s="52" t="s">
        <v>142</v>
      </c>
      <c r="CN25" s="52" t="s">
        <v>142</v>
      </c>
      <c r="CO25" s="52" t="s">
        <v>142</v>
      </c>
      <c r="CP25" s="52" t="s">
        <v>142</v>
      </c>
      <c r="CQ25" s="52" t="s">
        <v>142</v>
      </c>
      <c r="CR25" s="52" t="s">
        <v>142</v>
      </c>
      <c r="CS25" s="52" t="s">
        <v>142</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c r="DH25" s="73"/>
      <c r="DI25" s="74"/>
      <c r="DJ25" s="75"/>
      <c r="DK25" s="76" t="s">
        <v>146</v>
      </c>
      <c r="DL25" s="76" t="s">
        <v>146</v>
      </c>
      <c r="DM25" s="76" t="s">
        <v>146</v>
      </c>
      <c r="DN25" s="790"/>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32</v>
      </c>
      <c r="B26" s="49"/>
      <c r="C26" s="50"/>
      <c r="D26" s="50"/>
      <c r="E26" s="51"/>
      <c r="F26" s="52"/>
      <c r="G26" s="53"/>
      <c r="H26" s="136"/>
      <c r="I26" s="137"/>
      <c r="J26" s="60"/>
      <c r="K26" s="56"/>
      <c r="L26" s="55"/>
      <c r="M26" s="56" t="s">
        <v>424</v>
      </c>
      <c r="N26" s="57"/>
      <c r="O26" s="114"/>
      <c r="P26" s="96"/>
      <c r="Q26" s="60"/>
      <c r="R26" s="61" t="e">
        <f>VLOOKUP(Sheet_1_Table_1_133[[#This Row],[Learning Domain]],[14]List!$A$7:$B$12,2,0)</f>
        <v>#N/A</v>
      </c>
      <c r="S26" s="55">
        <v>0</v>
      </c>
      <c r="T26" s="55">
        <v>0</v>
      </c>
      <c r="U26" s="55">
        <v>0</v>
      </c>
      <c r="V26" s="55">
        <v>0</v>
      </c>
      <c r="W26" s="55">
        <v>0</v>
      </c>
      <c r="X26" s="55">
        <v>0</v>
      </c>
      <c r="Y26" s="55">
        <v>0</v>
      </c>
      <c r="Z26" s="55">
        <v>0</v>
      </c>
      <c r="AA26" s="55">
        <v>0</v>
      </c>
      <c r="AB26" s="53">
        <f>SUM(Sheet_1_Table_1_133[[#This Row],[Leadership LS]:[Career Development  CR]])</f>
        <v>0</v>
      </c>
      <c r="AC26" s="97"/>
      <c r="AD26" s="55"/>
      <c r="AE26" s="55" t="s">
        <v>142</v>
      </c>
      <c r="AF26" s="55" t="s">
        <v>142</v>
      </c>
      <c r="AG26" s="55" t="s">
        <v>142</v>
      </c>
      <c r="AH26" s="55"/>
      <c r="AI26" s="55"/>
      <c r="AJ26" s="62">
        <f>Sheet_1_Table_1_133[[#This Row],[ILP Units Per Session]]*Sheet_1_Table_1_133[[#This Row],[Quota]]</f>
        <v>0</v>
      </c>
      <c r="AK26" s="63"/>
      <c r="AL26" s="64">
        <f>WEEKDAY(Sheet_1_Table_1_133[[#This Row],[Lesson 1 
Date 
(DD-MMM-YYYY)]])</f>
        <v>7</v>
      </c>
      <c r="AM26" s="65"/>
      <c r="AN26" s="66"/>
      <c r="AO26" s="67"/>
      <c r="AP26" s="68"/>
      <c r="AQ26" s="64">
        <f>WEEKDAY(Sheet_1_Table_1_133[[#This Row],[Lesson 2
Date 
(DD-MMM-YYYY)]]
)</f>
        <v>7</v>
      </c>
      <c r="AR26" s="65"/>
      <c r="AS26" s="66"/>
      <c r="AT26" s="126"/>
      <c r="AU26" s="63"/>
      <c r="AV26" s="64" t="e">
        <f>WEEKDAY([5]!Sheet_1_Table_1_13[[#This Row],[Lesson 3
Date 
(DD-MMM-YYYY)]])</f>
        <v>#REF!</v>
      </c>
      <c r="AW26" s="65"/>
      <c r="AX26" s="66"/>
      <c r="AY26" s="126"/>
      <c r="AZ26" s="98"/>
      <c r="BA26" s="64" t="e">
        <f>WEEKDAY([5]!Sheet_1_Table_1_13[[#This Row],[Lesson 4
Date 
(DD-MMM-YYYY)]])</f>
        <v>#REF!</v>
      </c>
      <c r="BB26" s="65"/>
      <c r="BC26" s="66"/>
      <c r="BD26" s="126"/>
      <c r="BE26" s="63"/>
      <c r="BF26" s="64" t="e">
        <f>WEEKDAY([5]!Sheet_1_Table_1_13[[#This Row],[Lesson 5
Date 
(DD-MMM-YYYY)]])</f>
        <v>#REF!</v>
      </c>
      <c r="BG26" s="65"/>
      <c r="BH26" s="66"/>
      <c r="BI26" s="126"/>
      <c r="BJ26" s="98"/>
      <c r="BK26" s="64" t="e">
        <f>WEEKDAY([5]!Sheet_1_Table_1_13[[#This Row],[Lesson 6
Date 
(DD-MMM-YYYY)]])</f>
        <v>#REF!</v>
      </c>
      <c r="BL26" s="65"/>
      <c r="BM26" s="66"/>
      <c r="BN26" s="99"/>
      <c r="BO26" s="54"/>
      <c r="BP26" s="69"/>
      <c r="BQ26" s="55"/>
      <c r="BR26" s="57"/>
      <c r="BS26" s="54"/>
      <c r="BT26" s="56"/>
      <c r="BU26" s="56"/>
      <c r="BV26" s="57"/>
      <c r="BW26" s="60"/>
      <c r="BX26" s="187"/>
      <c r="BY26" s="56"/>
      <c r="BZ26" s="56"/>
      <c r="CA26" s="56"/>
      <c r="CB26" s="72"/>
      <c r="CC26" s="72"/>
      <c r="CD26" s="72"/>
      <c r="CE26" s="60"/>
      <c r="CF26" s="72"/>
      <c r="CG26" s="56"/>
      <c r="CH26" s="57"/>
      <c r="CI26" s="52" t="s">
        <v>142</v>
      </c>
      <c r="CJ26" s="52" t="s">
        <v>142</v>
      </c>
      <c r="CK26" s="52" t="s">
        <v>142</v>
      </c>
      <c r="CL26" s="52" t="s">
        <v>142</v>
      </c>
      <c r="CM26" s="52" t="s">
        <v>142</v>
      </c>
      <c r="CN26" s="52" t="s">
        <v>142</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N26" s="790"/>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33</v>
      </c>
      <c r="B27" s="49"/>
      <c r="C27" s="50"/>
      <c r="D27" s="50"/>
      <c r="E27" s="51"/>
      <c r="F27" s="52"/>
      <c r="G27" s="53"/>
      <c r="H27" s="136"/>
      <c r="I27" s="137"/>
      <c r="J27" s="60"/>
      <c r="K27" s="56"/>
      <c r="L27" s="55"/>
      <c r="M27" s="56" t="s">
        <v>424</v>
      </c>
      <c r="N27" s="57"/>
      <c r="O27" s="114"/>
      <c r="P27" s="96"/>
      <c r="Q27" s="60"/>
      <c r="R27" s="77" t="e">
        <f>VLOOKUP(Sheet_1_Table_1_133[[#This Row],[Learning Domain]],[14]List!$A$7:$B$12,2,0)</f>
        <v>#N/A</v>
      </c>
      <c r="S27" s="55">
        <v>0</v>
      </c>
      <c r="T27" s="55">
        <v>0</v>
      </c>
      <c r="U27" s="55">
        <v>0</v>
      </c>
      <c r="V27" s="55">
        <v>0</v>
      </c>
      <c r="W27" s="55">
        <v>0</v>
      </c>
      <c r="X27" s="55">
        <v>0</v>
      </c>
      <c r="Y27" s="55">
        <v>0</v>
      </c>
      <c r="Z27" s="55">
        <v>0</v>
      </c>
      <c r="AA27" s="55">
        <v>0</v>
      </c>
      <c r="AB27" s="53">
        <f>SUM(Sheet_1_Table_1_133[[#This Row],[Leadership LS]:[Career Development  CR]])</f>
        <v>0</v>
      </c>
      <c r="AC27" s="97"/>
      <c r="AD27" s="55"/>
      <c r="AE27" s="55" t="s">
        <v>142</v>
      </c>
      <c r="AF27" s="55" t="s">
        <v>142</v>
      </c>
      <c r="AG27" s="55" t="s">
        <v>142</v>
      </c>
      <c r="AH27" s="55"/>
      <c r="AI27" s="55"/>
      <c r="AJ27" s="62">
        <f>Sheet_1_Table_1_133[[#This Row],[ILP Units Per Session]]*Sheet_1_Table_1_133[[#This Row],[Quota]]</f>
        <v>0</v>
      </c>
      <c r="AK27" s="63"/>
      <c r="AL27" s="64">
        <f>WEEKDAY(Sheet_1_Table_1_133[[#This Row],[Lesson 1 
Date 
(DD-MMM-YYYY)]])</f>
        <v>7</v>
      </c>
      <c r="AM27" s="65"/>
      <c r="AN27" s="66"/>
      <c r="AO27" s="67"/>
      <c r="AP27" s="68"/>
      <c r="AQ27" s="64">
        <f>WEEKDAY(Sheet_1_Table_1_133[[#This Row],[Lesson 2
Date 
(DD-MMM-YYYY)]]
)</f>
        <v>7</v>
      </c>
      <c r="AR27" s="65"/>
      <c r="AS27" s="66"/>
      <c r="AT27" s="126"/>
      <c r="AU27" s="63"/>
      <c r="AV27" s="64" t="e">
        <f>WEEKDAY([5]!Sheet_1_Table_1_13[[#This Row],[Lesson 3
Date 
(DD-MMM-YYYY)]])</f>
        <v>#REF!</v>
      </c>
      <c r="AW27" s="65"/>
      <c r="AX27" s="66"/>
      <c r="AY27" s="126"/>
      <c r="AZ27" s="98"/>
      <c r="BA27" s="64" t="e">
        <f>WEEKDAY([5]!Sheet_1_Table_1_13[[#This Row],[Lesson 4
Date 
(DD-MMM-YYYY)]])</f>
        <v>#REF!</v>
      </c>
      <c r="BB27" s="65"/>
      <c r="BC27" s="66"/>
      <c r="BD27" s="126"/>
      <c r="BE27" s="63"/>
      <c r="BF27" s="64" t="e">
        <f>WEEKDAY([5]!Sheet_1_Table_1_13[[#This Row],[Lesson 5
Date 
(DD-MMM-YYYY)]])</f>
        <v>#REF!</v>
      </c>
      <c r="BG27" s="65"/>
      <c r="BH27" s="66"/>
      <c r="BI27" s="126"/>
      <c r="BJ27" s="98"/>
      <c r="BK27" s="64" t="e">
        <f>WEEKDAY([5]!Sheet_1_Table_1_13[[#This Row],[Lesson 6
Date 
(DD-MMM-YYYY)]])</f>
        <v>#REF!</v>
      </c>
      <c r="BL27" s="65"/>
      <c r="BM27" s="66"/>
      <c r="BN27" s="99"/>
      <c r="BO27" s="54"/>
      <c r="BP27" s="69"/>
      <c r="BQ27" s="55"/>
      <c r="BR27" s="57"/>
      <c r="BS27" s="54"/>
      <c r="BT27" s="56"/>
      <c r="BU27" s="56"/>
      <c r="BV27" s="57"/>
      <c r="BW27" s="60"/>
      <c r="BX27" s="187"/>
      <c r="BY27" s="56"/>
      <c r="BZ27" s="56"/>
      <c r="CA27" s="56"/>
      <c r="CB27" s="72"/>
      <c r="CC27" s="72"/>
      <c r="CD27" s="72"/>
      <c r="CE27" s="60"/>
      <c r="CF27" s="72"/>
      <c r="CG27" s="56"/>
      <c r="CH27" s="57"/>
      <c r="CI27" s="52" t="s">
        <v>142</v>
      </c>
      <c r="CJ27" s="52" t="s">
        <v>142</v>
      </c>
      <c r="CK27" s="52" t="s">
        <v>142</v>
      </c>
      <c r="CL27" s="52" t="s">
        <v>142</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N27" s="790"/>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34</v>
      </c>
      <c r="B28" s="49"/>
      <c r="C28" s="50"/>
      <c r="D28" s="50"/>
      <c r="E28" s="51"/>
      <c r="F28" s="52"/>
      <c r="G28" s="53"/>
      <c r="H28" s="136"/>
      <c r="I28" s="137"/>
      <c r="J28" s="60"/>
      <c r="K28" s="56"/>
      <c r="L28" s="55"/>
      <c r="M28" s="56" t="s">
        <v>424</v>
      </c>
      <c r="N28" s="57"/>
      <c r="O28" s="114"/>
      <c r="P28" s="96"/>
      <c r="Q28" s="60"/>
      <c r="R28" s="61" t="e">
        <f>VLOOKUP(Sheet_1_Table_1_133[[#This Row],[Learning Domain]],[14]List!$A$7:$B$12,2,0)</f>
        <v>#N/A</v>
      </c>
      <c r="S28" s="55">
        <v>0</v>
      </c>
      <c r="T28" s="55">
        <v>0</v>
      </c>
      <c r="U28" s="55">
        <v>0</v>
      </c>
      <c r="V28" s="55">
        <v>0</v>
      </c>
      <c r="W28" s="55">
        <v>0</v>
      </c>
      <c r="X28" s="55">
        <v>0</v>
      </c>
      <c r="Y28" s="55">
        <v>0</v>
      </c>
      <c r="Z28" s="55">
        <v>0</v>
      </c>
      <c r="AA28" s="55">
        <v>0</v>
      </c>
      <c r="AB28" s="53">
        <f>SUM(Sheet_1_Table_1_133[[#This Row],[Leadership LS]:[Career Development  CR]])</f>
        <v>0</v>
      </c>
      <c r="AC28" s="97"/>
      <c r="AD28" s="55"/>
      <c r="AE28" s="55" t="s">
        <v>142</v>
      </c>
      <c r="AF28" s="55" t="s">
        <v>142</v>
      </c>
      <c r="AG28" s="55" t="s">
        <v>142</v>
      </c>
      <c r="AH28" s="55"/>
      <c r="AI28" s="55"/>
      <c r="AJ28" s="62">
        <f>Sheet_1_Table_1_133[[#This Row],[ILP Units Per Session]]*Sheet_1_Table_1_133[[#This Row],[Quota]]</f>
        <v>0</v>
      </c>
      <c r="AK28" s="63"/>
      <c r="AL28" s="64">
        <f>WEEKDAY(Sheet_1_Table_1_133[[#This Row],[Lesson 1 
Date 
(DD-MMM-YYYY)]])</f>
        <v>7</v>
      </c>
      <c r="AM28" s="65"/>
      <c r="AN28" s="66"/>
      <c r="AO28" s="67"/>
      <c r="AP28" s="68"/>
      <c r="AQ28" s="64">
        <f>WEEKDAY(Sheet_1_Table_1_133[[#This Row],[Lesson 2
Date 
(DD-MMM-YYYY)]]
)</f>
        <v>7</v>
      </c>
      <c r="AR28" s="65"/>
      <c r="AS28" s="66"/>
      <c r="AT28" s="126"/>
      <c r="AU28" s="63"/>
      <c r="AV28" s="64" t="e">
        <f>WEEKDAY([5]!Sheet_1_Table_1_13[[#This Row],[Lesson 3
Date 
(DD-MMM-YYYY)]])</f>
        <v>#REF!</v>
      </c>
      <c r="AW28" s="65"/>
      <c r="AX28" s="66"/>
      <c r="AY28" s="126"/>
      <c r="AZ28" s="98"/>
      <c r="BA28" s="64" t="e">
        <f>WEEKDAY([5]!Sheet_1_Table_1_13[[#This Row],[Lesson 4
Date 
(DD-MMM-YYYY)]])</f>
        <v>#REF!</v>
      </c>
      <c r="BB28" s="65"/>
      <c r="BC28" s="66"/>
      <c r="BD28" s="126"/>
      <c r="BE28" s="63"/>
      <c r="BF28" s="64" t="e">
        <f>WEEKDAY([5]!Sheet_1_Table_1_13[[#This Row],[Lesson 5
Date 
(DD-MMM-YYYY)]])</f>
        <v>#REF!</v>
      </c>
      <c r="BG28" s="65"/>
      <c r="BH28" s="66"/>
      <c r="BI28" s="126"/>
      <c r="BJ28" s="98"/>
      <c r="BK28" s="64" t="e">
        <f>WEEKDAY([5]!Sheet_1_Table_1_13[[#This Row],[Lesson 6
Date 
(DD-MMM-YYYY)]])</f>
        <v>#REF!</v>
      </c>
      <c r="BL28" s="65"/>
      <c r="BM28" s="66"/>
      <c r="BN28" s="99"/>
      <c r="BO28" s="54"/>
      <c r="BP28" s="69"/>
      <c r="BQ28" s="55"/>
      <c r="BR28" s="57"/>
      <c r="BS28" s="54"/>
      <c r="BT28" s="56"/>
      <c r="BU28" s="56"/>
      <c r="BV28" s="57"/>
      <c r="BW28" s="60"/>
      <c r="BX28" s="187"/>
      <c r="BY28" s="56"/>
      <c r="BZ28" s="56"/>
      <c r="CA28" s="56"/>
      <c r="CB28" s="72"/>
      <c r="CC28" s="72"/>
      <c r="CD28" s="72"/>
      <c r="CE28" s="60"/>
      <c r="CF28" s="72"/>
      <c r="CG28" s="56"/>
      <c r="CH28" s="57"/>
      <c r="CI28" s="52" t="s">
        <v>142</v>
      </c>
      <c r="CJ28" s="52" t="s">
        <v>142</v>
      </c>
      <c r="CK28" s="52" t="s">
        <v>142</v>
      </c>
      <c r="CL28" s="52" t="s">
        <v>142</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N28" s="790"/>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35</v>
      </c>
      <c r="B29" s="49"/>
      <c r="C29" s="50"/>
      <c r="D29" s="50"/>
      <c r="E29" s="51"/>
      <c r="F29" s="52"/>
      <c r="G29" s="53"/>
      <c r="H29" s="136"/>
      <c r="I29" s="137"/>
      <c r="J29" s="60"/>
      <c r="K29" s="56"/>
      <c r="L29" s="55"/>
      <c r="M29" s="56" t="s">
        <v>424</v>
      </c>
      <c r="N29" s="57"/>
      <c r="O29" s="114"/>
      <c r="P29" s="96"/>
      <c r="Q29" s="60"/>
      <c r="R29" s="77" t="e">
        <f>VLOOKUP(Sheet_1_Table_1_133[[#This Row],[Learning Domain]],[14]List!$A$7:$B$12,2,0)</f>
        <v>#N/A</v>
      </c>
      <c r="S29" s="55">
        <v>0</v>
      </c>
      <c r="T29" s="55">
        <v>0</v>
      </c>
      <c r="U29" s="55">
        <v>0</v>
      </c>
      <c r="V29" s="55">
        <v>0</v>
      </c>
      <c r="W29" s="55">
        <v>0</v>
      </c>
      <c r="X29" s="55">
        <v>0</v>
      </c>
      <c r="Y29" s="55">
        <v>0</v>
      </c>
      <c r="Z29" s="55">
        <v>0</v>
      </c>
      <c r="AA29" s="55">
        <v>0</v>
      </c>
      <c r="AB29" s="53">
        <f>SUM(Sheet_1_Table_1_133[[#This Row],[Leadership LS]:[Career Development  CR]])</f>
        <v>0</v>
      </c>
      <c r="AC29" s="97"/>
      <c r="AD29" s="55"/>
      <c r="AE29" s="55" t="s">
        <v>142</v>
      </c>
      <c r="AF29" s="55" t="s">
        <v>142</v>
      </c>
      <c r="AG29" s="55" t="s">
        <v>142</v>
      </c>
      <c r="AH29" s="55"/>
      <c r="AI29" s="55"/>
      <c r="AJ29" s="62">
        <f>Sheet_1_Table_1_133[[#This Row],[ILP Units Per Session]]*Sheet_1_Table_1_133[[#This Row],[Quota]]</f>
        <v>0</v>
      </c>
      <c r="AK29" s="63"/>
      <c r="AL29" s="64">
        <f>WEEKDAY(Sheet_1_Table_1_133[[#This Row],[Lesson 1 
Date 
(DD-MMM-YYYY)]])</f>
        <v>7</v>
      </c>
      <c r="AM29" s="65"/>
      <c r="AN29" s="66"/>
      <c r="AO29" s="67"/>
      <c r="AP29" s="68"/>
      <c r="AQ29" s="64">
        <f>WEEKDAY(Sheet_1_Table_1_133[[#This Row],[Lesson 2
Date 
(DD-MMM-YYYY)]]
)</f>
        <v>7</v>
      </c>
      <c r="AR29" s="65"/>
      <c r="AS29" s="66"/>
      <c r="AT29" s="126"/>
      <c r="AU29" s="63"/>
      <c r="AV29" s="64" t="e">
        <f>WEEKDAY([5]!Sheet_1_Table_1_13[[#This Row],[Lesson 3
Date 
(DD-MMM-YYYY)]])</f>
        <v>#REF!</v>
      </c>
      <c r="AW29" s="65"/>
      <c r="AX29" s="66"/>
      <c r="AY29" s="126"/>
      <c r="AZ29" s="98"/>
      <c r="BA29" s="64" t="e">
        <f>WEEKDAY([5]!Sheet_1_Table_1_13[[#This Row],[Lesson 4
Date 
(DD-MMM-YYYY)]])</f>
        <v>#REF!</v>
      </c>
      <c r="BB29" s="65"/>
      <c r="BC29" s="66"/>
      <c r="BD29" s="126"/>
      <c r="BE29" s="63"/>
      <c r="BF29" s="64" t="e">
        <f>WEEKDAY([5]!Sheet_1_Table_1_13[[#This Row],[Lesson 5
Date 
(DD-MMM-YYYY)]])</f>
        <v>#REF!</v>
      </c>
      <c r="BG29" s="65"/>
      <c r="BH29" s="66"/>
      <c r="BI29" s="126"/>
      <c r="BJ29" s="98"/>
      <c r="BK29" s="64" t="e">
        <f>WEEKDAY([5]!Sheet_1_Table_1_13[[#This Row],[Lesson 6
Date 
(DD-MMM-YYYY)]])</f>
        <v>#REF!</v>
      </c>
      <c r="BL29" s="65"/>
      <c r="BM29" s="66"/>
      <c r="BN29" s="99"/>
      <c r="BO29" s="54"/>
      <c r="BP29" s="69"/>
      <c r="BQ29" s="55"/>
      <c r="BR29" s="57"/>
      <c r="BS29" s="54"/>
      <c r="BT29" s="56"/>
      <c r="BU29" s="56"/>
      <c r="BV29" s="57"/>
      <c r="BW29" s="60"/>
      <c r="BX29" s="187"/>
      <c r="BY29" s="56"/>
      <c r="BZ29" s="56"/>
      <c r="CA29" s="56"/>
      <c r="CB29" s="72"/>
      <c r="CC29" s="72"/>
      <c r="CD29" s="72"/>
      <c r="CE29" s="60"/>
      <c r="CF29" s="72"/>
      <c r="CG29" s="56"/>
      <c r="CH29" s="57"/>
      <c r="CI29" s="52" t="s">
        <v>142</v>
      </c>
      <c r="CJ29" s="52" t="s">
        <v>142</v>
      </c>
      <c r="CK29" s="52" t="s">
        <v>142</v>
      </c>
      <c r="CL29" s="52" t="s">
        <v>142</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N29" s="790"/>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36</v>
      </c>
      <c r="B30" s="49"/>
      <c r="C30" s="50"/>
      <c r="D30" s="50"/>
      <c r="E30" s="51"/>
      <c r="F30" s="52"/>
      <c r="G30" s="53"/>
      <c r="H30" s="136"/>
      <c r="I30" s="137"/>
      <c r="J30" s="60"/>
      <c r="K30" s="56"/>
      <c r="L30" s="55"/>
      <c r="M30" s="56" t="s">
        <v>424</v>
      </c>
      <c r="N30" s="57"/>
      <c r="O30" s="114"/>
      <c r="P30" s="96"/>
      <c r="Q30" s="60"/>
      <c r="R30" s="61" t="e">
        <f>VLOOKUP(Sheet_1_Table_1_133[[#This Row],[Learning Domain]],[14]List!$A$7:$B$12,2,0)</f>
        <v>#N/A</v>
      </c>
      <c r="S30" s="55">
        <v>0</v>
      </c>
      <c r="T30" s="55">
        <v>0</v>
      </c>
      <c r="U30" s="55">
        <v>0</v>
      </c>
      <c r="V30" s="55">
        <v>0</v>
      </c>
      <c r="W30" s="55">
        <v>0</v>
      </c>
      <c r="X30" s="55">
        <v>0</v>
      </c>
      <c r="Y30" s="55">
        <v>0</v>
      </c>
      <c r="Z30" s="55">
        <v>0</v>
      </c>
      <c r="AA30" s="55">
        <v>0</v>
      </c>
      <c r="AB30" s="53">
        <f>SUM(Sheet_1_Table_1_133[[#This Row],[Leadership LS]:[Career Development  CR]])</f>
        <v>0</v>
      </c>
      <c r="AC30" s="97"/>
      <c r="AD30" s="55"/>
      <c r="AE30" s="55" t="s">
        <v>142</v>
      </c>
      <c r="AF30" s="55" t="s">
        <v>142</v>
      </c>
      <c r="AG30" s="55" t="s">
        <v>142</v>
      </c>
      <c r="AH30" s="55"/>
      <c r="AI30" s="55"/>
      <c r="AJ30" s="62">
        <f>Sheet_1_Table_1_133[[#This Row],[ILP Units Per Session]]*Sheet_1_Table_1_133[[#This Row],[Quota]]</f>
        <v>0</v>
      </c>
      <c r="AK30" s="63"/>
      <c r="AL30" s="64">
        <f>WEEKDAY(Sheet_1_Table_1_133[[#This Row],[Lesson 1 
Date 
(DD-MMM-YYYY)]])</f>
        <v>7</v>
      </c>
      <c r="AM30" s="65"/>
      <c r="AN30" s="66"/>
      <c r="AO30" s="67"/>
      <c r="AP30" s="68"/>
      <c r="AQ30" s="64">
        <f>WEEKDAY(Sheet_1_Table_1_133[[#This Row],[Lesson 2
Date 
(DD-MMM-YYYY)]]
)</f>
        <v>7</v>
      </c>
      <c r="AR30" s="65"/>
      <c r="AS30" s="66"/>
      <c r="AT30" s="126"/>
      <c r="AU30" s="63"/>
      <c r="AV30" s="64" t="e">
        <f>WEEKDAY([5]!Sheet_1_Table_1_13[[#This Row],[Lesson 3
Date 
(DD-MMM-YYYY)]])</f>
        <v>#REF!</v>
      </c>
      <c r="AW30" s="65"/>
      <c r="AX30" s="66"/>
      <c r="AY30" s="126"/>
      <c r="AZ30" s="98"/>
      <c r="BA30" s="64" t="e">
        <f>WEEKDAY([5]!Sheet_1_Table_1_13[[#This Row],[Lesson 4
Date 
(DD-MMM-YYYY)]])</f>
        <v>#REF!</v>
      </c>
      <c r="BB30" s="65"/>
      <c r="BC30" s="66"/>
      <c r="BD30" s="126"/>
      <c r="BE30" s="63"/>
      <c r="BF30" s="64" t="e">
        <f>WEEKDAY([5]!Sheet_1_Table_1_13[[#This Row],[Lesson 5
Date 
(DD-MMM-YYYY)]])</f>
        <v>#REF!</v>
      </c>
      <c r="BG30" s="65"/>
      <c r="BH30" s="66"/>
      <c r="BI30" s="126"/>
      <c r="BJ30" s="98"/>
      <c r="BK30" s="64" t="e">
        <f>WEEKDAY([5]!Sheet_1_Table_1_13[[#This Row],[Lesson 6
Date 
(DD-MMM-YYYY)]])</f>
        <v>#REF!</v>
      </c>
      <c r="BL30" s="65"/>
      <c r="BM30" s="66"/>
      <c r="BN30" s="99"/>
      <c r="BO30" s="54"/>
      <c r="BP30" s="69"/>
      <c r="BQ30" s="55"/>
      <c r="BR30" s="57"/>
      <c r="BS30" s="54"/>
      <c r="BT30" s="56"/>
      <c r="BU30" s="56"/>
      <c r="BV30" s="57"/>
      <c r="BW30" s="60"/>
      <c r="BX30" s="187"/>
      <c r="BY30" s="56"/>
      <c r="BZ30" s="56"/>
      <c r="CA30" s="56"/>
      <c r="CB30" s="72"/>
      <c r="CC30" s="72"/>
      <c r="CD30" s="72"/>
      <c r="CE30" s="60"/>
      <c r="CF30" s="72"/>
      <c r="CG30" s="56"/>
      <c r="CH30" s="57"/>
      <c r="CI30" s="52" t="s">
        <v>142</v>
      </c>
      <c r="CJ30" s="52" t="s">
        <v>142</v>
      </c>
      <c r="CK30" s="52" t="s">
        <v>142</v>
      </c>
      <c r="CL30" s="52" t="s">
        <v>142</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N30" s="790"/>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37</v>
      </c>
      <c r="B31" s="49"/>
      <c r="C31" s="50"/>
      <c r="D31" s="50"/>
      <c r="E31" s="51"/>
      <c r="F31" s="52"/>
      <c r="G31" s="53"/>
      <c r="H31" s="136"/>
      <c r="I31" s="137"/>
      <c r="J31" s="60"/>
      <c r="K31" s="56"/>
      <c r="L31" s="55"/>
      <c r="M31" s="56" t="s">
        <v>424</v>
      </c>
      <c r="N31" s="57"/>
      <c r="O31" s="114"/>
      <c r="P31" s="96"/>
      <c r="Q31" s="60"/>
      <c r="R31" s="77" t="e">
        <f>VLOOKUP(Sheet_1_Table_1_133[[#This Row],[Learning Domain]],[14]List!$A$7:$B$12,2,0)</f>
        <v>#N/A</v>
      </c>
      <c r="S31" s="55">
        <v>0</v>
      </c>
      <c r="T31" s="55">
        <v>0</v>
      </c>
      <c r="U31" s="55">
        <v>0</v>
      </c>
      <c r="V31" s="55">
        <v>0</v>
      </c>
      <c r="W31" s="55">
        <v>0</v>
      </c>
      <c r="X31" s="55">
        <v>0</v>
      </c>
      <c r="Y31" s="55">
        <v>0</v>
      </c>
      <c r="Z31" s="55">
        <v>0</v>
      </c>
      <c r="AA31" s="55">
        <v>0</v>
      </c>
      <c r="AB31" s="53">
        <f>SUM(Sheet_1_Table_1_133[[#This Row],[Leadership LS]:[Career Development  CR]])</f>
        <v>0</v>
      </c>
      <c r="AC31" s="97"/>
      <c r="AD31" s="55"/>
      <c r="AE31" s="55" t="s">
        <v>142</v>
      </c>
      <c r="AF31" s="55" t="s">
        <v>142</v>
      </c>
      <c r="AG31" s="55" t="s">
        <v>142</v>
      </c>
      <c r="AH31" s="55"/>
      <c r="AI31" s="55"/>
      <c r="AJ31" s="62">
        <f>Sheet_1_Table_1_133[[#This Row],[ILP Units Per Session]]*Sheet_1_Table_1_133[[#This Row],[Quota]]</f>
        <v>0</v>
      </c>
      <c r="AK31" s="63"/>
      <c r="AL31" s="64">
        <f>WEEKDAY(Sheet_1_Table_1_133[[#This Row],[Lesson 1 
Date 
(DD-MMM-YYYY)]])</f>
        <v>7</v>
      </c>
      <c r="AM31" s="65"/>
      <c r="AN31" s="66"/>
      <c r="AO31" s="67"/>
      <c r="AP31" s="68"/>
      <c r="AQ31" s="64">
        <f>WEEKDAY(Sheet_1_Table_1_133[[#This Row],[Lesson 2
Date 
(DD-MMM-YYYY)]]
)</f>
        <v>7</v>
      </c>
      <c r="AR31" s="65"/>
      <c r="AS31" s="66"/>
      <c r="AT31" s="126"/>
      <c r="AU31" s="63"/>
      <c r="AV31" s="64" t="e">
        <f>WEEKDAY([5]!Sheet_1_Table_1_13[[#This Row],[Lesson 3
Date 
(DD-MMM-YYYY)]])</f>
        <v>#REF!</v>
      </c>
      <c r="AW31" s="65"/>
      <c r="AX31" s="66"/>
      <c r="AY31" s="126"/>
      <c r="AZ31" s="98"/>
      <c r="BA31" s="64" t="e">
        <f>WEEKDAY([5]!Sheet_1_Table_1_13[[#This Row],[Lesson 4
Date 
(DD-MMM-YYYY)]])</f>
        <v>#REF!</v>
      </c>
      <c r="BB31" s="65"/>
      <c r="BC31" s="66"/>
      <c r="BD31" s="126"/>
      <c r="BE31" s="63"/>
      <c r="BF31" s="64" t="e">
        <f>WEEKDAY([5]!Sheet_1_Table_1_13[[#This Row],[Lesson 5
Date 
(DD-MMM-YYYY)]])</f>
        <v>#REF!</v>
      </c>
      <c r="BG31" s="65"/>
      <c r="BH31" s="66"/>
      <c r="BI31" s="126"/>
      <c r="BJ31" s="98"/>
      <c r="BK31" s="64" t="e">
        <f>WEEKDAY([5]!Sheet_1_Table_1_13[[#This Row],[Lesson 6
Date 
(DD-MMM-YYYY)]])</f>
        <v>#REF!</v>
      </c>
      <c r="BL31" s="65"/>
      <c r="BM31" s="66"/>
      <c r="BN31" s="99"/>
      <c r="BO31" s="54"/>
      <c r="BP31" s="69"/>
      <c r="BQ31" s="55"/>
      <c r="BR31" s="57"/>
      <c r="BS31" s="54"/>
      <c r="BT31" s="56"/>
      <c r="BU31" s="56"/>
      <c r="BV31" s="57"/>
      <c r="BW31" s="60"/>
      <c r="BX31" s="187"/>
      <c r="BY31" s="56"/>
      <c r="BZ31" s="56"/>
      <c r="CA31" s="56"/>
      <c r="CB31" s="72"/>
      <c r="CC31" s="72"/>
      <c r="CD31" s="72"/>
      <c r="CE31" s="60"/>
      <c r="CF31" s="72"/>
      <c r="CG31" s="56"/>
      <c r="CH31" s="57"/>
      <c r="CI31" s="52" t="s">
        <v>142</v>
      </c>
      <c r="CJ31" s="52" t="s">
        <v>142</v>
      </c>
      <c r="CK31" s="52" t="s">
        <v>142</v>
      </c>
      <c r="CL31" s="52" t="s">
        <v>142</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N31" s="790"/>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38</v>
      </c>
      <c r="B32" s="49"/>
      <c r="C32" s="50"/>
      <c r="D32" s="50"/>
      <c r="E32" s="51"/>
      <c r="F32" s="52"/>
      <c r="G32" s="53"/>
      <c r="H32" s="136"/>
      <c r="I32" s="137"/>
      <c r="J32" s="60"/>
      <c r="K32" s="56"/>
      <c r="L32" s="55"/>
      <c r="M32" s="56" t="s">
        <v>424</v>
      </c>
      <c r="N32" s="57"/>
      <c r="O32" s="114"/>
      <c r="P32" s="96"/>
      <c r="Q32" s="60"/>
      <c r="R32" s="61" t="e">
        <f>VLOOKUP(Sheet_1_Table_1_133[[#This Row],[Learning Domain]],[14]List!$A$7:$B$12,2,0)</f>
        <v>#N/A</v>
      </c>
      <c r="S32" s="55">
        <v>0</v>
      </c>
      <c r="T32" s="55">
        <v>0</v>
      </c>
      <c r="U32" s="55">
        <v>0</v>
      </c>
      <c r="V32" s="55">
        <v>0</v>
      </c>
      <c r="W32" s="55">
        <v>0</v>
      </c>
      <c r="X32" s="55">
        <v>0</v>
      </c>
      <c r="Y32" s="55">
        <v>0</v>
      </c>
      <c r="Z32" s="55">
        <v>0</v>
      </c>
      <c r="AA32" s="55">
        <v>0</v>
      </c>
      <c r="AB32" s="53">
        <f>SUM(Sheet_1_Table_1_133[[#This Row],[Leadership LS]:[Career Development  CR]])</f>
        <v>0</v>
      </c>
      <c r="AC32" s="97"/>
      <c r="AD32" s="55"/>
      <c r="AE32" s="55" t="s">
        <v>142</v>
      </c>
      <c r="AF32" s="55" t="s">
        <v>142</v>
      </c>
      <c r="AG32" s="55" t="s">
        <v>142</v>
      </c>
      <c r="AH32" s="55"/>
      <c r="AI32" s="55"/>
      <c r="AJ32" s="62">
        <f>Sheet_1_Table_1_133[[#This Row],[ILP Units Per Session]]*Sheet_1_Table_1_133[[#This Row],[Quota]]</f>
        <v>0</v>
      </c>
      <c r="AK32" s="63"/>
      <c r="AL32" s="64">
        <f>WEEKDAY(Sheet_1_Table_1_133[[#This Row],[Lesson 1 
Date 
(DD-MMM-YYYY)]])</f>
        <v>7</v>
      </c>
      <c r="AM32" s="65"/>
      <c r="AN32" s="66"/>
      <c r="AO32" s="67"/>
      <c r="AP32" s="68"/>
      <c r="AQ32" s="64">
        <f>WEEKDAY(Sheet_1_Table_1_133[[#This Row],[Lesson 2
Date 
(DD-MMM-YYYY)]]
)</f>
        <v>7</v>
      </c>
      <c r="AR32" s="65"/>
      <c r="AS32" s="66"/>
      <c r="AT32" s="126"/>
      <c r="AU32" s="63"/>
      <c r="AV32" s="64" t="e">
        <f>WEEKDAY([5]!Sheet_1_Table_1_13[[#This Row],[Lesson 3
Date 
(DD-MMM-YYYY)]])</f>
        <v>#REF!</v>
      </c>
      <c r="AW32" s="65"/>
      <c r="AX32" s="66"/>
      <c r="AY32" s="126"/>
      <c r="AZ32" s="98"/>
      <c r="BA32" s="64" t="e">
        <f>WEEKDAY([5]!Sheet_1_Table_1_13[[#This Row],[Lesson 4
Date 
(DD-MMM-YYYY)]])</f>
        <v>#REF!</v>
      </c>
      <c r="BB32" s="65"/>
      <c r="BC32" s="66"/>
      <c r="BD32" s="126"/>
      <c r="BE32" s="63"/>
      <c r="BF32" s="64" t="e">
        <f>WEEKDAY([5]!Sheet_1_Table_1_13[[#This Row],[Lesson 5
Date 
(DD-MMM-YYYY)]])</f>
        <v>#REF!</v>
      </c>
      <c r="BG32" s="65"/>
      <c r="BH32" s="66"/>
      <c r="BI32" s="126"/>
      <c r="BJ32" s="98"/>
      <c r="BK32" s="64" t="e">
        <f>WEEKDAY([5]!Sheet_1_Table_1_13[[#This Row],[Lesson 6
Date 
(DD-MMM-YYYY)]])</f>
        <v>#REF!</v>
      </c>
      <c r="BL32" s="65"/>
      <c r="BM32" s="66"/>
      <c r="BN32" s="99"/>
      <c r="BO32" s="54"/>
      <c r="BP32" s="69"/>
      <c r="BQ32" s="55"/>
      <c r="BR32" s="57"/>
      <c r="BS32" s="54"/>
      <c r="BT32" s="56"/>
      <c r="BU32" s="56"/>
      <c r="BV32" s="57"/>
      <c r="BW32" s="60"/>
      <c r="BX32" s="187"/>
      <c r="BY32" s="56"/>
      <c r="BZ32" s="56"/>
      <c r="CA32" s="56"/>
      <c r="CB32" s="72"/>
      <c r="CC32" s="72"/>
      <c r="CD32" s="72"/>
      <c r="CE32" s="60"/>
      <c r="CF32" s="72"/>
      <c r="CG32" s="56"/>
      <c r="CH32" s="57"/>
      <c r="CI32" s="52" t="s">
        <v>142</v>
      </c>
      <c r="CJ32" s="52" t="s">
        <v>142</v>
      </c>
      <c r="CK32" s="52" t="s">
        <v>142</v>
      </c>
      <c r="CL32" s="52" t="s">
        <v>142</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N32" s="790"/>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39</v>
      </c>
      <c r="B33" s="49"/>
      <c r="C33" s="50"/>
      <c r="D33" s="50"/>
      <c r="E33" s="51"/>
      <c r="F33" s="52"/>
      <c r="G33" s="53"/>
      <c r="H33" s="136"/>
      <c r="I33" s="137"/>
      <c r="J33" s="60"/>
      <c r="K33" s="56"/>
      <c r="L33" s="55"/>
      <c r="M33" s="56" t="s">
        <v>424</v>
      </c>
      <c r="N33" s="57"/>
      <c r="O33" s="114"/>
      <c r="P33" s="96"/>
      <c r="Q33" s="60"/>
      <c r="R33" s="77" t="e">
        <f>VLOOKUP(Sheet_1_Table_1_133[[#This Row],[Learning Domain]],[14]List!$A$7:$B$12,2,0)</f>
        <v>#N/A</v>
      </c>
      <c r="S33" s="55">
        <v>0</v>
      </c>
      <c r="T33" s="55">
        <v>0</v>
      </c>
      <c r="U33" s="55">
        <v>0</v>
      </c>
      <c r="V33" s="55">
        <v>0</v>
      </c>
      <c r="W33" s="55">
        <v>0</v>
      </c>
      <c r="X33" s="55">
        <v>0</v>
      </c>
      <c r="Y33" s="55">
        <v>0</v>
      </c>
      <c r="Z33" s="55">
        <v>0</v>
      </c>
      <c r="AA33" s="55">
        <v>0</v>
      </c>
      <c r="AB33" s="53">
        <f>SUM(Sheet_1_Table_1_133[[#This Row],[Leadership LS]:[Career Development  CR]])</f>
        <v>0</v>
      </c>
      <c r="AC33" s="97"/>
      <c r="AD33" s="55"/>
      <c r="AE33" s="55" t="s">
        <v>142</v>
      </c>
      <c r="AF33" s="55" t="s">
        <v>142</v>
      </c>
      <c r="AG33" s="55" t="s">
        <v>142</v>
      </c>
      <c r="AH33" s="55"/>
      <c r="AI33" s="55"/>
      <c r="AJ33" s="62">
        <f>Sheet_1_Table_1_133[[#This Row],[ILP Units Per Session]]*Sheet_1_Table_1_133[[#This Row],[Quota]]</f>
        <v>0</v>
      </c>
      <c r="AK33" s="63"/>
      <c r="AL33" s="64">
        <f>WEEKDAY(Sheet_1_Table_1_133[[#This Row],[Lesson 1 
Date 
(DD-MMM-YYYY)]])</f>
        <v>7</v>
      </c>
      <c r="AM33" s="65"/>
      <c r="AN33" s="66"/>
      <c r="AO33" s="67"/>
      <c r="AP33" s="68"/>
      <c r="AQ33" s="64">
        <f>WEEKDAY(Sheet_1_Table_1_133[[#This Row],[Lesson 2
Date 
(DD-MMM-YYYY)]]
)</f>
        <v>7</v>
      </c>
      <c r="AR33" s="65"/>
      <c r="AS33" s="66"/>
      <c r="AT33" s="126"/>
      <c r="AU33" s="63"/>
      <c r="AV33" s="64" t="e">
        <f>WEEKDAY([5]!Sheet_1_Table_1_13[[#This Row],[Lesson 3
Date 
(DD-MMM-YYYY)]])</f>
        <v>#REF!</v>
      </c>
      <c r="AW33" s="65"/>
      <c r="AX33" s="66"/>
      <c r="AY33" s="126"/>
      <c r="AZ33" s="98"/>
      <c r="BA33" s="64" t="e">
        <f>WEEKDAY([5]!Sheet_1_Table_1_13[[#This Row],[Lesson 4
Date 
(DD-MMM-YYYY)]])</f>
        <v>#REF!</v>
      </c>
      <c r="BB33" s="65"/>
      <c r="BC33" s="66"/>
      <c r="BD33" s="126"/>
      <c r="BE33" s="63"/>
      <c r="BF33" s="64" t="e">
        <f>WEEKDAY([5]!Sheet_1_Table_1_13[[#This Row],[Lesson 5
Date 
(DD-MMM-YYYY)]])</f>
        <v>#REF!</v>
      </c>
      <c r="BG33" s="65"/>
      <c r="BH33" s="66"/>
      <c r="BI33" s="126"/>
      <c r="BJ33" s="98"/>
      <c r="BK33" s="64" t="e">
        <f>WEEKDAY([5]!Sheet_1_Table_1_13[[#This Row],[Lesson 6
Date 
(DD-MMM-YYYY)]])</f>
        <v>#REF!</v>
      </c>
      <c r="BL33" s="65"/>
      <c r="BM33" s="66"/>
      <c r="BN33" s="99"/>
      <c r="BO33" s="54"/>
      <c r="BP33" s="69"/>
      <c r="BQ33" s="55"/>
      <c r="BR33" s="57"/>
      <c r="BS33" s="54"/>
      <c r="BT33" s="56"/>
      <c r="BU33" s="56"/>
      <c r="BV33" s="57"/>
      <c r="BW33" s="60"/>
      <c r="BX33" s="187"/>
      <c r="BY33" s="56"/>
      <c r="BZ33" s="56"/>
      <c r="CA33" s="56"/>
      <c r="CB33" s="72"/>
      <c r="CC33" s="72"/>
      <c r="CD33" s="72"/>
      <c r="CE33" s="60"/>
      <c r="CF33" s="72"/>
      <c r="CG33" s="56"/>
      <c r="CH33" s="57"/>
      <c r="CI33" s="52" t="s">
        <v>142</v>
      </c>
      <c r="CJ33" s="52" t="s">
        <v>142</v>
      </c>
      <c r="CK33" s="52" t="s">
        <v>142</v>
      </c>
      <c r="CL33" s="52" t="s">
        <v>142</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N33" s="790"/>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40</v>
      </c>
      <c r="B34" s="49"/>
      <c r="C34" s="50"/>
      <c r="D34" s="50"/>
      <c r="E34" s="51"/>
      <c r="F34" s="52"/>
      <c r="G34" s="53"/>
      <c r="H34" s="136"/>
      <c r="I34" s="137"/>
      <c r="J34" s="60"/>
      <c r="K34" s="56"/>
      <c r="L34" s="55"/>
      <c r="M34" s="56" t="s">
        <v>424</v>
      </c>
      <c r="N34" s="57"/>
      <c r="O34" s="114"/>
      <c r="P34" s="96"/>
      <c r="Q34" s="60"/>
      <c r="R34" s="61" t="e">
        <f>VLOOKUP(Sheet_1_Table_1_133[[#This Row],[Learning Domain]],[14]List!$A$7:$B$12,2,0)</f>
        <v>#N/A</v>
      </c>
      <c r="S34" s="55">
        <v>0</v>
      </c>
      <c r="T34" s="55">
        <v>0</v>
      </c>
      <c r="U34" s="55">
        <v>0</v>
      </c>
      <c r="V34" s="55">
        <v>0</v>
      </c>
      <c r="W34" s="55">
        <v>0</v>
      </c>
      <c r="X34" s="55">
        <v>0</v>
      </c>
      <c r="Y34" s="55">
        <v>0</v>
      </c>
      <c r="Z34" s="55">
        <v>0</v>
      </c>
      <c r="AA34" s="55">
        <v>0</v>
      </c>
      <c r="AB34" s="53">
        <f>SUM(Sheet_1_Table_1_133[[#This Row],[Leadership LS]:[Career Development  CR]])</f>
        <v>0</v>
      </c>
      <c r="AC34" s="97"/>
      <c r="AD34" s="55"/>
      <c r="AE34" s="55" t="s">
        <v>142</v>
      </c>
      <c r="AF34" s="55" t="s">
        <v>142</v>
      </c>
      <c r="AG34" s="55" t="s">
        <v>142</v>
      </c>
      <c r="AH34" s="55"/>
      <c r="AI34" s="55"/>
      <c r="AJ34" s="62">
        <f>Sheet_1_Table_1_133[[#This Row],[ILP Units Per Session]]*Sheet_1_Table_1_133[[#This Row],[Quota]]</f>
        <v>0</v>
      </c>
      <c r="AK34" s="63"/>
      <c r="AL34" s="64">
        <f>WEEKDAY(Sheet_1_Table_1_133[[#This Row],[Lesson 1 
Date 
(DD-MMM-YYYY)]])</f>
        <v>7</v>
      </c>
      <c r="AM34" s="65"/>
      <c r="AN34" s="66"/>
      <c r="AO34" s="67"/>
      <c r="AP34" s="68"/>
      <c r="AQ34" s="64">
        <f>WEEKDAY(Sheet_1_Table_1_133[[#This Row],[Lesson 2
Date 
(DD-MMM-YYYY)]]
)</f>
        <v>7</v>
      </c>
      <c r="AR34" s="65"/>
      <c r="AS34" s="66"/>
      <c r="AT34" s="126"/>
      <c r="AU34" s="63"/>
      <c r="AV34" s="64" t="e">
        <f>WEEKDAY([5]!Sheet_1_Table_1_13[[#This Row],[Lesson 3
Date 
(DD-MMM-YYYY)]])</f>
        <v>#REF!</v>
      </c>
      <c r="AW34" s="65"/>
      <c r="AX34" s="66"/>
      <c r="AY34" s="126"/>
      <c r="AZ34" s="98"/>
      <c r="BA34" s="64" t="e">
        <f>WEEKDAY([5]!Sheet_1_Table_1_13[[#This Row],[Lesson 4
Date 
(DD-MMM-YYYY)]])</f>
        <v>#REF!</v>
      </c>
      <c r="BB34" s="65"/>
      <c r="BC34" s="66"/>
      <c r="BD34" s="126"/>
      <c r="BE34" s="63"/>
      <c r="BF34" s="64" t="e">
        <f>WEEKDAY([5]!Sheet_1_Table_1_13[[#This Row],[Lesson 5
Date 
(DD-MMM-YYYY)]])</f>
        <v>#REF!</v>
      </c>
      <c r="BG34" s="65"/>
      <c r="BH34" s="66"/>
      <c r="BI34" s="126"/>
      <c r="BJ34" s="98"/>
      <c r="BK34" s="64" t="e">
        <f>WEEKDAY([5]!Sheet_1_Table_1_13[[#This Row],[Lesson 6
Date 
(DD-MMM-YYYY)]])</f>
        <v>#REF!</v>
      </c>
      <c r="BL34" s="65"/>
      <c r="BM34" s="66"/>
      <c r="BN34" s="99"/>
      <c r="BO34" s="54"/>
      <c r="BP34" s="69"/>
      <c r="BQ34" s="55"/>
      <c r="BR34" s="57"/>
      <c r="BS34" s="54"/>
      <c r="BT34" s="56"/>
      <c r="BU34" s="56"/>
      <c r="BV34" s="57"/>
      <c r="BW34" s="60"/>
      <c r="BX34" s="187"/>
      <c r="BY34" s="56"/>
      <c r="BZ34" s="56"/>
      <c r="CA34" s="56"/>
      <c r="CB34" s="72"/>
      <c r="CC34" s="72"/>
      <c r="CD34" s="72"/>
      <c r="CE34" s="60"/>
      <c r="CF34" s="72"/>
      <c r="CG34" s="56"/>
      <c r="CH34" s="57"/>
      <c r="CI34" s="52" t="s">
        <v>142</v>
      </c>
      <c r="CJ34" s="52" t="s">
        <v>142</v>
      </c>
      <c r="CK34" s="52" t="s">
        <v>142</v>
      </c>
      <c r="CL34" s="52" t="s">
        <v>142</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N34" s="790"/>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41</v>
      </c>
      <c r="B35" s="49"/>
      <c r="C35" s="50"/>
      <c r="D35" s="50"/>
      <c r="E35" s="51"/>
      <c r="F35" s="54"/>
      <c r="G35" s="53"/>
      <c r="H35" s="136"/>
      <c r="I35" s="137"/>
      <c r="J35" s="60"/>
      <c r="K35" s="56"/>
      <c r="L35" s="55"/>
      <c r="M35" s="56" t="s">
        <v>424</v>
      </c>
      <c r="N35" s="57"/>
      <c r="O35" s="114"/>
      <c r="P35" s="96"/>
      <c r="Q35" s="60"/>
      <c r="R35" s="61" t="e">
        <f>VLOOKUP(Sheet_1_Table_1_133[[#This Row],[Learning Domain]],[14]List!$A$7:$B$12,2,0)</f>
        <v>#N/A</v>
      </c>
      <c r="S35" s="55">
        <v>0</v>
      </c>
      <c r="T35" s="55">
        <v>0</v>
      </c>
      <c r="U35" s="55">
        <v>0</v>
      </c>
      <c r="V35" s="55">
        <v>0</v>
      </c>
      <c r="W35" s="55">
        <v>0</v>
      </c>
      <c r="X35" s="55">
        <v>0</v>
      </c>
      <c r="Y35" s="55">
        <v>0</v>
      </c>
      <c r="Z35" s="55">
        <v>0</v>
      </c>
      <c r="AA35" s="55">
        <v>0</v>
      </c>
      <c r="AB35" s="53">
        <f>SUM(Sheet_1_Table_1_133[[#This Row],[Leadership LS]:[Career Development  CR]])</f>
        <v>0</v>
      </c>
      <c r="AC35" s="97"/>
      <c r="AD35" s="55"/>
      <c r="AE35" s="55" t="s">
        <v>142</v>
      </c>
      <c r="AF35" s="55" t="s">
        <v>142</v>
      </c>
      <c r="AG35" s="55" t="s">
        <v>142</v>
      </c>
      <c r="AH35" s="55"/>
      <c r="AI35" s="55"/>
      <c r="AJ35" s="62">
        <f>Sheet_1_Table_1_133[[#This Row],[ILP Units Per Session]]*Sheet_1_Table_1_133[[#This Row],[Quota]]</f>
        <v>0</v>
      </c>
      <c r="AK35" s="63"/>
      <c r="AL35" s="64">
        <f>WEEKDAY(Sheet_1_Table_1_133[[#This Row],[Lesson 1 
Date 
(DD-MMM-YYYY)]])</f>
        <v>7</v>
      </c>
      <c r="AM35" s="65"/>
      <c r="AN35" s="66"/>
      <c r="AO35" s="67"/>
      <c r="AP35" s="68"/>
      <c r="AQ35" s="64">
        <f>WEEKDAY(Sheet_1_Table_1_133[[#This Row],[Lesson 2
Date 
(DD-MMM-YYYY)]]
)</f>
        <v>7</v>
      </c>
      <c r="AR35" s="65"/>
      <c r="AS35" s="66"/>
      <c r="AT35" s="126"/>
      <c r="AU35" s="63"/>
      <c r="AV35" s="64" t="e">
        <f>WEEKDAY([5]!Sheet_1_Table_1_13[[#This Row],[Lesson 3
Date 
(DD-MMM-YYYY)]])</f>
        <v>#REF!</v>
      </c>
      <c r="AW35" s="65"/>
      <c r="AX35" s="66"/>
      <c r="AY35" s="126"/>
      <c r="AZ35" s="98"/>
      <c r="BA35" s="64" t="e">
        <f>WEEKDAY([5]!Sheet_1_Table_1_13[[#This Row],[Lesson 4
Date 
(DD-MMM-YYYY)]])</f>
        <v>#REF!</v>
      </c>
      <c r="BB35" s="65"/>
      <c r="BC35" s="66"/>
      <c r="BD35" s="126"/>
      <c r="BE35" s="63"/>
      <c r="BF35" s="64" t="e">
        <f>WEEKDAY([5]!Sheet_1_Table_1_13[[#This Row],[Lesson 5
Date 
(DD-MMM-YYYY)]])</f>
        <v>#REF!</v>
      </c>
      <c r="BG35" s="65"/>
      <c r="BH35" s="66"/>
      <c r="BI35" s="126"/>
      <c r="BJ35" s="98"/>
      <c r="BK35" s="64" t="e">
        <f>WEEKDAY([5]!Sheet_1_Table_1_13[[#This Row],[Lesson 6
Date 
(DD-MMM-YYYY)]])</f>
        <v>#REF!</v>
      </c>
      <c r="BL35" s="65"/>
      <c r="BM35" s="66"/>
      <c r="BN35" s="99"/>
      <c r="BO35" s="54"/>
      <c r="BP35" s="69"/>
      <c r="BQ35" s="55"/>
      <c r="BR35" s="57"/>
      <c r="BS35" s="54"/>
      <c r="BT35" s="56"/>
      <c r="BU35" s="56"/>
      <c r="BV35" s="57"/>
      <c r="BW35" s="60"/>
      <c r="BX35" s="187"/>
      <c r="BY35" s="56"/>
      <c r="BZ35" s="56"/>
      <c r="CA35" s="56"/>
      <c r="CB35" s="72"/>
      <c r="CC35" s="72"/>
      <c r="CD35" s="72"/>
      <c r="CE35" s="60"/>
      <c r="CF35" s="72"/>
      <c r="CG35" s="56"/>
      <c r="CH35" s="57"/>
      <c r="CI35" s="52" t="s">
        <v>142</v>
      </c>
      <c r="CJ35" s="52" t="s">
        <v>142</v>
      </c>
      <c r="CK35" s="52" t="s">
        <v>142</v>
      </c>
      <c r="CL35" s="52" t="s">
        <v>142</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N35" s="790"/>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42</v>
      </c>
      <c r="B36" s="49"/>
      <c r="C36" s="50"/>
      <c r="D36" s="50"/>
      <c r="E36" s="51"/>
      <c r="F36" s="54"/>
      <c r="G36" s="53"/>
      <c r="H36" s="136"/>
      <c r="I36" s="137"/>
      <c r="J36" s="60"/>
      <c r="K36" s="56"/>
      <c r="L36" s="55"/>
      <c r="M36" s="56" t="s">
        <v>424</v>
      </c>
      <c r="N36" s="57"/>
      <c r="O36" s="114"/>
      <c r="P36" s="96"/>
      <c r="Q36" s="60"/>
      <c r="R36" s="77" t="e">
        <f>VLOOKUP(Sheet_1_Table_1_133[[#This Row],[Learning Domain]],[14]List!$A$7:$B$12,2,0)</f>
        <v>#N/A</v>
      </c>
      <c r="S36" s="55">
        <v>0</v>
      </c>
      <c r="T36" s="55">
        <v>0</v>
      </c>
      <c r="U36" s="55">
        <v>0</v>
      </c>
      <c r="V36" s="55">
        <v>0</v>
      </c>
      <c r="W36" s="55">
        <v>0</v>
      </c>
      <c r="X36" s="55">
        <v>0</v>
      </c>
      <c r="Y36" s="55">
        <v>0</v>
      </c>
      <c r="Z36" s="55">
        <v>0</v>
      </c>
      <c r="AA36" s="55">
        <v>0</v>
      </c>
      <c r="AB36" s="53">
        <f>SUM(Sheet_1_Table_1_133[[#This Row],[Leadership LS]:[Career Development  CR]])</f>
        <v>0</v>
      </c>
      <c r="AC36" s="97"/>
      <c r="AD36" s="55"/>
      <c r="AE36" s="55" t="s">
        <v>142</v>
      </c>
      <c r="AF36" s="55" t="s">
        <v>142</v>
      </c>
      <c r="AG36" s="55" t="s">
        <v>142</v>
      </c>
      <c r="AH36" s="55"/>
      <c r="AI36" s="55"/>
      <c r="AJ36" s="62">
        <f>Sheet_1_Table_1_133[[#This Row],[ILP Units Per Session]]*Sheet_1_Table_1_133[[#This Row],[Quota]]</f>
        <v>0</v>
      </c>
      <c r="AK36" s="63"/>
      <c r="AL36" s="165">
        <f>WEEKDAY(Sheet_1_Table_1_133[[#This Row],[Lesson 1 
Date 
(DD-MMM-YYYY)]])</f>
        <v>7</v>
      </c>
      <c r="AM36" s="65"/>
      <c r="AN36" s="66"/>
      <c r="AO36" s="67"/>
      <c r="AP36" s="68"/>
      <c r="AQ36" s="64">
        <f>WEEKDAY(Sheet_1_Table_1_133[[#This Row],[Lesson 2
Date 
(DD-MMM-YYYY)]]
)</f>
        <v>7</v>
      </c>
      <c r="AR36" s="65"/>
      <c r="AS36" s="66"/>
      <c r="AT36" s="126"/>
      <c r="AU36" s="63"/>
      <c r="AV36" s="64" t="e">
        <f>WEEKDAY([5]!Sheet_1_Table_1_13[[#This Row],[Lesson 3
Date 
(DD-MMM-YYYY)]])</f>
        <v>#REF!</v>
      </c>
      <c r="AW36" s="65"/>
      <c r="AX36" s="66"/>
      <c r="AY36" s="126"/>
      <c r="AZ36" s="98"/>
      <c r="BA36" s="64" t="e">
        <f>WEEKDAY([5]!Sheet_1_Table_1_13[[#This Row],[Lesson 4
Date 
(DD-MMM-YYYY)]])</f>
        <v>#REF!</v>
      </c>
      <c r="BB36" s="65"/>
      <c r="BC36" s="66"/>
      <c r="BD36" s="126"/>
      <c r="BE36" s="63"/>
      <c r="BF36" s="64" t="e">
        <f>WEEKDAY([5]!Sheet_1_Table_1_13[[#This Row],[Lesson 5
Date 
(DD-MMM-YYYY)]])</f>
        <v>#REF!</v>
      </c>
      <c r="BG36" s="65"/>
      <c r="BH36" s="66"/>
      <c r="BI36" s="126"/>
      <c r="BJ36" s="98"/>
      <c r="BK36" s="64" t="e">
        <f>WEEKDAY([5]!Sheet_1_Table_1_13[[#This Row],[Lesson 6
Date 
(DD-MMM-YYYY)]])</f>
        <v>#REF!</v>
      </c>
      <c r="BL36" s="65"/>
      <c r="BM36" s="66"/>
      <c r="BN36" s="99"/>
      <c r="BO36" s="54"/>
      <c r="BP36" s="69"/>
      <c r="BQ36" s="55"/>
      <c r="BR36" s="57"/>
      <c r="BS36" s="54"/>
      <c r="BT36" s="56"/>
      <c r="BU36" s="56"/>
      <c r="BV36" s="57"/>
      <c r="BW36" s="60"/>
      <c r="BX36" s="187"/>
      <c r="BY36" s="56"/>
      <c r="BZ36" s="56"/>
      <c r="CA36" s="56"/>
      <c r="CB36" s="72"/>
      <c r="CC36" s="72"/>
      <c r="CD36" s="72"/>
      <c r="CE36" s="60"/>
      <c r="CF36" s="72"/>
      <c r="CG36" s="56"/>
      <c r="CH36" s="57"/>
      <c r="CI36" s="52" t="s">
        <v>142</v>
      </c>
      <c r="CJ36" s="52" t="s">
        <v>142</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N36" s="790"/>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43</v>
      </c>
      <c r="B37" s="49"/>
      <c r="C37" s="50"/>
      <c r="D37" s="50"/>
      <c r="E37" s="51"/>
      <c r="F37" s="54"/>
      <c r="G37" s="53"/>
      <c r="H37" s="136"/>
      <c r="I37" s="137"/>
      <c r="J37" s="60"/>
      <c r="K37" s="56"/>
      <c r="L37" s="55"/>
      <c r="M37" s="56" t="s">
        <v>424</v>
      </c>
      <c r="N37" s="57"/>
      <c r="O37" s="114"/>
      <c r="P37" s="96"/>
      <c r="Q37" s="60"/>
      <c r="R37" s="61" t="e">
        <f>VLOOKUP(Sheet_1_Table_1_133[[#This Row],[Learning Domain]],[14]List!$A$7:$B$12,2,0)</f>
        <v>#N/A</v>
      </c>
      <c r="S37" s="55">
        <v>0</v>
      </c>
      <c r="T37" s="55">
        <v>0</v>
      </c>
      <c r="U37" s="55">
        <v>0</v>
      </c>
      <c r="V37" s="55">
        <v>0</v>
      </c>
      <c r="W37" s="55">
        <v>0</v>
      </c>
      <c r="X37" s="55">
        <v>0</v>
      </c>
      <c r="Y37" s="55">
        <v>0</v>
      </c>
      <c r="Z37" s="55">
        <v>0</v>
      </c>
      <c r="AA37" s="55">
        <v>0</v>
      </c>
      <c r="AB37" s="53">
        <f>SUM(Sheet_1_Table_1_133[[#This Row],[Leadership LS]:[Career Development  CR]])</f>
        <v>0</v>
      </c>
      <c r="AC37" s="97"/>
      <c r="AD37" s="55"/>
      <c r="AE37" s="55" t="s">
        <v>142</v>
      </c>
      <c r="AF37" s="55" t="s">
        <v>142</v>
      </c>
      <c r="AG37" s="55" t="s">
        <v>142</v>
      </c>
      <c r="AH37" s="55"/>
      <c r="AI37" s="55"/>
      <c r="AJ37" s="62">
        <f>Sheet_1_Table_1_133[[#This Row],[ILP Units Per Session]]*Sheet_1_Table_1_133[[#This Row],[Quota]]</f>
        <v>0</v>
      </c>
      <c r="AK37" s="63"/>
      <c r="AL37" s="64">
        <f>WEEKDAY(Sheet_1_Table_1_133[[#This Row],[Lesson 1 
Date 
(DD-MMM-YYYY)]])</f>
        <v>7</v>
      </c>
      <c r="AM37" s="65"/>
      <c r="AN37" s="66"/>
      <c r="AO37" s="67"/>
      <c r="AP37" s="68"/>
      <c r="AQ37" s="64">
        <f>WEEKDAY(Sheet_1_Table_1_133[[#This Row],[Lesson 2
Date 
(DD-MMM-YYYY)]]
)</f>
        <v>7</v>
      </c>
      <c r="AR37" s="65"/>
      <c r="AS37" s="66"/>
      <c r="AT37" s="126"/>
      <c r="AU37" s="63"/>
      <c r="AV37" s="64" t="e">
        <f>WEEKDAY([5]!Sheet_1_Table_1_13[[#This Row],[Lesson 3
Date 
(DD-MMM-YYYY)]])</f>
        <v>#REF!</v>
      </c>
      <c r="AW37" s="65"/>
      <c r="AX37" s="66"/>
      <c r="AY37" s="126"/>
      <c r="AZ37" s="98"/>
      <c r="BA37" s="64" t="e">
        <f>WEEKDAY([5]!Sheet_1_Table_1_13[[#This Row],[Lesson 4
Date 
(DD-MMM-YYYY)]])</f>
        <v>#REF!</v>
      </c>
      <c r="BB37" s="65"/>
      <c r="BC37" s="66"/>
      <c r="BD37" s="126"/>
      <c r="BE37" s="63"/>
      <c r="BF37" s="64" t="e">
        <f>WEEKDAY([5]!Sheet_1_Table_1_13[[#This Row],[Lesson 5
Date 
(DD-MMM-YYYY)]])</f>
        <v>#REF!</v>
      </c>
      <c r="BG37" s="65"/>
      <c r="BH37" s="66"/>
      <c r="BI37" s="126"/>
      <c r="BJ37" s="98"/>
      <c r="BK37" s="64" t="e">
        <f>WEEKDAY([5]!Sheet_1_Table_1_13[[#This Row],[Lesson 6
Date 
(DD-MMM-YYYY)]])</f>
        <v>#REF!</v>
      </c>
      <c r="BL37" s="65"/>
      <c r="BM37" s="66"/>
      <c r="BN37" s="99"/>
      <c r="BO37" s="54"/>
      <c r="BP37" s="69"/>
      <c r="BQ37" s="55"/>
      <c r="BR37" s="57"/>
      <c r="BS37" s="54"/>
      <c r="BT37" s="56"/>
      <c r="BU37" s="56"/>
      <c r="BV37" s="57"/>
      <c r="BW37" s="60"/>
      <c r="BX37" s="187"/>
      <c r="BY37" s="56"/>
      <c r="BZ37" s="56"/>
      <c r="CA37" s="56"/>
      <c r="CB37" s="72"/>
      <c r="CC37" s="72"/>
      <c r="CD37" s="72"/>
      <c r="CE37" s="60"/>
      <c r="CF37" s="72"/>
      <c r="CG37" s="56"/>
      <c r="CH37" s="57"/>
      <c r="CI37" s="52" t="s">
        <v>142</v>
      </c>
      <c r="CJ37" s="52" t="s">
        <v>142</v>
      </c>
      <c r="CK37" s="52" t="s">
        <v>142</v>
      </c>
      <c r="CL37" s="52" t="s">
        <v>142</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N37" s="790"/>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44</v>
      </c>
      <c r="B38" s="49"/>
      <c r="C38" s="50"/>
      <c r="D38" s="50"/>
      <c r="E38" s="51"/>
      <c r="F38" s="54"/>
      <c r="G38" s="53"/>
      <c r="H38" s="136"/>
      <c r="I38" s="137"/>
      <c r="J38" s="60"/>
      <c r="K38" s="56"/>
      <c r="L38" s="55"/>
      <c r="M38" s="56" t="s">
        <v>424</v>
      </c>
      <c r="N38" s="57"/>
      <c r="O38" s="114"/>
      <c r="P38" s="96"/>
      <c r="Q38" s="60"/>
      <c r="R38" s="61" t="e">
        <f>VLOOKUP(Sheet_1_Table_1_133[[#This Row],[Learning Domain]],[14]List!$A$7:$B$12,2,0)</f>
        <v>#N/A</v>
      </c>
      <c r="S38" s="55">
        <v>0</v>
      </c>
      <c r="T38" s="55">
        <v>0</v>
      </c>
      <c r="U38" s="55">
        <v>0</v>
      </c>
      <c r="V38" s="55">
        <v>0</v>
      </c>
      <c r="W38" s="55">
        <v>0</v>
      </c>
      <c r="X38" s="55">
        <v>0</v>
      </c>
      <c r="Y38" s="55">
        <v>0</v>
      </c>
      <c r="Z38" s="55">
        <v>0</v>
      </c>
      <c r="AA38" s="55">
        <v>0</v>
      </c>
      <c r="AB38" s="53">
        <f>SUM(Sheet_1_Table_1_133[[#This Row],[Leadership LS]:[Career Development  CR]])</f>
        <v>0</v>
      </c>
      <c r="AC38" s="97"/>
      <c r="AD38" s="55"/>
      <c r="AE38" s="55" t="s">
        <v>142</v>
      </c>
      <c r="AF38" s="55" t="s">
        <v>142</v>
      </c>
      <c r="AG38" s="55" t="s">
        <v>142</v>
      </c>
      <c r="AH38" s="55"/>
      <c r="AI38" s="55"/>
      <c r="AJ38" s="62">
        <f>Sheet_1_Table_1_133[[#This Row],[ILP Units Per Session]]*Sheet_1_Table_1_133[[#This Row],[Quota]]</f>
        <v>0</v>
      </c>
      <c r="AK38" s="63"/>
      <c r="AL38" s="165">
        <f>WEEKDAY(Sheet_1_Table_1_133[[#This Row],[Lesson 1 
Date 
(DD-MMM-YYYY)]])</f>
        <v>7</v>
      </c>
      <c r="AM38" s="65"/>
      <c r="AN38" s="66"/>
      <c r="AO38" s="67"/>
      <c r="AP38" s="68"/>
      <c r="AQ38" s="64">
        <f>WEEKDAY(Sheet_1_Table_1_133[[#This Row],[Lesson 2
Date 
(DD-MMM-YYYY)]]
)</f>
        <v>7</v>
      </c>
      <c r="AR38" s="65"/>
      <c r="AS38" s="66"/>
      <c r="AT38" s="126"/>
      <c r="AU38" s="63"/>
      <c r="AV38" s="64" t="e">
        <f>WEEKDAY([5]!Sheet_1_Table_1_13[[#This Row],[Lesson 3
Date 
(DD-MMM-YYYY)]])</f>
        <v>#REF!</v>
      </c>
      <c r="AW38" s="65"/>
      <c r="AX38" s="66"/>
      <c r="AY38" s="126"/>
      <c r="AZ38" s="98"/>
      <c r="BA38" s="64" t="e">
        <f>WEEKDAY([5]!Sheet_1_Table_1_13[[#This Row],[Lesson 4
Date 
(DD-MMM-YYYY)]])</f>
        <v>#REF!</v>
      </c>
      <c r="BB38" s="65"/>
      <c r="BC38" s="66"/>
      <c r="BD38" s="126"/>
      <c r="BE38" s="63"/>
      <c r="BF38" s="64" t="e">
        <f>WEEKDAY([5]!Sheet_1_Table_1_13[[#This Row],[Lesson 5
Date 
(DD-MMM-YYYY)]])</f>
        <v>#REF!</v>
      </c>
      <c r="BG38" s="65"/>
      <c r="BH38" s="66"/>
      <c r="BI38" s="126"/>
      <c r="BJ38" s="98"/>
      <c r="BK38" s="64" t="e">
        <f>WEEKDAY([5]!Sheet_1_Table_1_13[[#This Row],[Lesson 6
Date 
(DD-MMM-YYYY)]])</f>
        <v>#REF!</v>
      </c>
      <c r="BL38" s="65"/>
      <c r="BM38" s="66"/>
      <c r="BN38" s="99"/>
      <c r="BO38" s="54"/>
      <c r="BP38" s="69"/>
      <c r="BQ38" s="55"/>
      <c r="BR38" s="57"/>
      <c r="BS38" s="54"/>
      <c r="BT38" s="56"/>
      <c r="BU38" s="56"/>
      <c r="BV38" s="57"/>
      <c r="BW38" s="60"/>
      <c r="BX38" s="187"/>
      <c r="BY38" s="56"/>
      <c r="BZ38" s="56"/>
      <c r="CA38" s="56"/>
      <c r="CB38" s="72"/>
      <c r="CC38" s="72"/>
      <c r="CD38" s="72"/>
      <c r="CE38" s="60"/>
      <c r="CF38" s="72"/>
      <c r="CG38" s="56"/>
      <c r="CH38" s="57"/>
      <c r="CI38" s="52" t="s">
        <v>142</v>
      </c>
      <c r="CJ38" s="52" t="s">
        <v>142</v>
      </c>
      <c r="CK38" s="52" t="s">
        <v>142</v>
      </c>
      <c r="CL38" s="52" t="s">
        <v>142</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N38" s="790"/>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45</v>
      </c>
      <c r="B39" s="49"/>
      <c r="C39" s="50"/>
      <c r="D39" s="50"/>
      <c r="E39" s="51"/>
      <c r="F39" s="54"/>
      <c r="G39" s="53"/>
      <c r="H39" s="136"/>
      <c r="I39" s="137"/>
      <c r="J39" s="60"/>
      <c r="K39" s="56"/>
      <c r="L39" s="55"/>
      <c r="M39" s="56" t="s">
        <v>424</v>
      </c>
      <c r="N39" s="57"/>
      <c r="O39" s="114"/>
      <c r="P39" s="96"/>
      <c r="Q39" s="60"/>
      <c r="R39" s="77" t="e">
        <f>VLOOKUP(Sheet_1_Table_1_133[[#This Row],[Learning Domain]],[14]List!$A$7:$B$12,2,0)</f>
        <v>#N/A</v>
      </c>
      <c r="S39" s="55">
        <v>0</v>
      </c>
      <c r="T39" s="55">
        <v>0</v>
      </c>
      <c r="U39" s="55">
        <v>0</v>
      </c>
      <c r="V39" s="55">
        <v>0</v>
      </c>
      <c r="W39" s="55">
        <v>0</v>
      </c>
      <c r="X39" s="55">
        <v>0</v>
      </c>
      <c r="Y39" s="55">
        <v>0</v>
      </c>
      <c r="Z39" s="55">
        <v>0</v>
      </c>
      <c r="AA39" s="55">
        <v>0</v>
      </c>
      <c r="AB39" s="53">
        <f>SUM(Sheet_1_Table_1_133[[#This Row],[Leadership LS]:[Career Development  CR]])</f>
        <v>0</v>
      </c>
      <c r="AC39" s="97"/>
      <c r="AD39" s="55"/>
      <c r="AE39" s="55" t="s">
        <v>142</v>
      </c>
      <c r="AF39" s="55" t="s">
        <v>142</v>
      </c>
      <c r="AG39" s="55" t="s">
        <v>142</v>
      </c>
      <c r="AH39" s="55"/>
      <c r="AI39" s="55"/>
      <c r="AJ39" s="62">
        <f>Sheet_1_Table_1_133[[#This Row],[ILP Units Per Session]]*Sheet_1_Table_1_133[[#This Row],[Quota]]</f>
        <v>0</v>
      </c>
      <c r="AK39" s="63"/>
      <c r="AL39" s="64">
        <f>WEEKDAY(Sheet_1_Table_1_133[[#This Row],[Lesson 1 
Date 
(DD-MMM-YYYY)]])</f>
        <v>7</v>
      </c>
      <c r="AM39" s="65"/>
      <c r="AN39" s="66"/>
      <c r="AO39" s="67"/>
      <c r="AP39" s="68"/>
      <c r="AQ39" s="64">
        <f>WEEKDAY(Sheet_1_Table_1_133[[#This Row],[Lesson 2
Date 
(DD-MMM-YYYY)]]
)</f>
        <v>7</v>
      </c>
      <c r="AR39" s="65"/>
      <c r="AS39" s="66"/>
      <c r="AT39" s="126"/>
      <c r="AU39" s="63"/>
      <c r="AV39" s="64" t="e">
        <f>WEEKDAY([5]!Sheet_1_Table_1_13[[#This Row],[Lesson 3
Date 
(DD-MMM-YYYY)]])</f>
        <v>#REF!</v>
      </c>
      <c r="AW39" s="65"/>
      <c r="AX39" s="66"/>
      <c r="AY39" s="126"/>
      <c r="AZ39" s="98"/>
      <c r="BA39" s="64" t="e">
        <f>WEEKDAY([5]!Sheet_1_Table_1_13[[#This Row],[Lesson 4
Date 
(DD-MMM-YYYY)]])</f>
        <v>#REF!</v>
      </c>
      <c r="BB39" s="65"/>
      <c r="BC39" s="66"/>
      <c r="BD39" s="126"/>
      <c r="BE39" s="63"/>
      <c r="BF39" s="64" t="e">
        <f>WEEKDAY([5]!Sheet_1_Table_1_13[[#This Row],[Lesson 5
Date 
(DD-MMM-YYYY)]])</f>
        <v>#REF!</v>
      </c>
      <c r="BG39" s="65"/>
      <c r="BH39" s="66"/>
      <c r="BI39" s="126"/>
      <c r="BJ39" s="98"/>
      <c r="BK39" s="64" t="e">
        <f>WEEKDAY([5]!Sheet_1_Table_1_13[[#This Row],[Lesson 6
Date 
(DD-MMM-YYYY)]])</f>
        <v>#REF!</v>
      </c>
      <c r="BL39" s="65"/>
      <c r="BM39" s="66"/>
      <c r="BN39" s="99"/>
      <c r="BO39" s="54"/>
      <c r="BP39" s="69"/>
      <c r="BQ39" s="55"/>
      <c r="BR39" s="57"/>
      <c r="BS39" s="54"/>
      <c r="BT39" s="56"/>
      <c r="BU39" s="56"/>
      <c r="BV39" s="57"/>
      <c r="BW39" s="60"/>
      <c r="BX39" s="187"/>
      <c r="BY39" s="56"/>
      <c r="BZ39" s="56"/>
      <c r="CA39" s="56"/>
      <c r="CB39" s="72"/>
      <c r="CC39" s="72"/>
      <c r="CD39" s="72"/>
      <c r="CE39" s="60"/>
      <c r="CF39" s="72"/>
      <c r="CG39" s="56"/>
      <c r="CH39" s="57"/>
      <c r="CI39" s="52" t="s">
        <v>142</v>
      </c>
      <c r="CJ39" s="52" t="s">
        <v>142</v>
      </c>
      <c r="CK39" s="52" t="s">
        <v>142</v>
      </c>
      <c r="CL39" s="52" t="s">
        <v>142</v>
      </c>
      <c r="CM39" s="52" t="s">
        <v>142</v>
      </c>
      <c r="CN39" s="52" t="s">
        <v>142</v>
      </c>
      <c r="CO39" s="52" t="s">
        <v>142</v>
      </c>
      <c r="CP39" s="52" t="s">
        <v>142</v>
      </c>
      <c r="CQ39" s="52" t="s">
        <v>142</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N39" s="790"/>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46</v>
      </c>
      <c r="B40" s="49"/>
      <c r="C40" s="50"/>
      <c r="D40" s="50"/>
      <c r="E40" s="51"/>
      <c r="F40" s="54"/>
      <c r="G40" s="53"/>
      <c r="H40" s="136"/>
      <c r="I40" s="137"/>
      <c r="J40" s="60"/>
      <c r="K40" s="56"/>
      <c r="L40" s="55"/>
      <c r="M40" s="56" t="s">
        <v>424</v>
      </c>
      <c r="N40" s="57"/>
      <c r="O40" s="114"/>
      <c r="P40" s="96"/>
      <c r="Q40" s="60"/>
      <c r="R40" s="61" t="e">
        <f>VLOOKUP(Sheet_1_Table_1_133[[#This Row],[Learning Domain]],[14]List!$A$7:$B$12,2,0)</f>
        <v>#N/A</v>
      </c>
      <c r="S40" s="55">
        <v>0</v>
      </c>
      <c r="T40" s="55">
        <v>0</v>
      </c>
      <c r="U40" s="55">
        <v>0</v>
      </c>
      <c r="V40" s="55">
        <v>0</v>
      </c>
      <c r="W40" s="55">
        <v>0</v>
      </c>
      <c r="X40" s="55">
        <v>0</v>
      </c>
      <c r="Y40" s="55">
        <v>0</v>
      </c>
      <c r="Z40" s="55">
        <v>0</v>
      </c>
      <c r="AA40" s="55">
        <v>0</v>
      </c>
      <c r="AB40" s="53">
        <f>SUM(Sheet_1_Table_1_133[[#This Row],[Leadership LS]:[Career Development  CR]])</f>
        <v>0</v>
      </c>
      <c r="AC40" s="97"/>
      <c r="AD40" s="55"/>
      <c r="AE40" s="55" t="s">
        <v>142</v>
      </c>
      <c r="AF40" s="55" t="s">
        <v>142</v>
      </c>
      <c r="AG40" s="55" t="s">
        <v>142</v>
      </c>
      <c r="AH40" s="55"/>
      <c r="AI40" s="55"/>
      <c r="AJ40" s="62">
        <f>Sheet_1_Table_1_133[[#This Row],[ILP Units Per Session]]*Sheet_1_Table_1_133[[#This Row],[Quota]]</f>
        <v>0</v>
      </c>
      <c r="AK40" s="63"/>
      <c r="AL40" s="165">
        <f>WEEKDAY(Sheet_1_Table_1_133[[#This Row],[Lesson 1 
Date 
(DD-MMM-YYYY)]])</f>
        <v>7</v>
      </c>
      <c r="AM40" s="65"/>
      <c r="AN40" s="66"/>
      <c r="AO40" s="67"/>
      <c r="AP40" s="68"/>
      <c r="AQ40" s="64">
        <f>WEEKDAY(Sheet_1_Table_1_133[[#This Row],[Lesson 2
Date 
(DD-MMM-YYYY)]]
)</f>
        <v>7</v>
      </c>
      <c r="AR40" s="65"/>
      <c r="AS40" s="66"/>
      <c r="AT40" s="126"/>
      <c r="AU40" s="63"/>
      <c r="AV40" s="64" t="e">
        <f>WEEKDAY([5]!Sheet_1_Table_1_13[[#This Row],[Lesson 3
Date 
(DD-MMM-YYYY)]])</f>
        <v>#REF!</v>
      </c>
      <c r="AW40" s="65"/>
      <c r="AX40" s="66"/>
      <c r="AY40" s="126"/>
      <c r="AZ40" s="98"/>
      <c r="BA40" s="64" t="e">
        <f>WEEKDAY([5]!Sheet_1_Table_1_13[[#This Row],[Lesson 4
Date 
(DD-MMM-YYYY)]])</f>
        <v>#REF!</v>
      </c>
      <c r="BB40" s="65"/>
      <c r="BC40" s="66"/>
      <c r="BD40" s="126"/>
      <c r="BE40" s="63"/>
      <c r="BF40" s="64" t="e">
        <f>WEEKDAY([5]!Sheet_1_Table_1_13[[#This Row],[Lesson 5
Date 
(DD-MMM-YYYY)]])</f>
        <v>#REF!</v>
      </c>
      <c r="BG40" s="65"/>
      <c r="BH40" s="66"/>
      <c r="BI40" s="126"/>
      <c r="BJ40" s="98"/>
      <c r="BK40" s="64" t="e">
        <f>WEEKDAY([5]!Sheet_1_Table_1_13[[#This Row],[Lesson 6
Date 
(DD-MMM-YYYY)]])</f>
        <v>#REF!</v>
      </c>
      <c r="BL40" s="65"/>
      <c r="BM40" s="66"/>
      <c r="BN40" s="99"/>
      <c r="BO40" s="54"/>
      <c r="BP40" s="69"/>
      <c r="BQ40" s="55"/>
      <c r="BR40" s="57"/>
      <c r="BS40" s="54"/>
      <c r="BT40" s="56"/>
      <c r="BU40" s="56"/>
      <c r="BV40" s="57"/>
      <c r="BW40" s="60"/>
      <c r="BX40" s="187"/>
      <c r="BY40" s="56"/>
      <c r="BZ40" s="56"/>
      <c r="CA40" s="56"/>
      <c r="CB40" s="72"/>
      <c r="CC40" s="72"/>
      <c r="CD40" s="72"/>
      <c r="CE40" s="60"/>
      <c r="CF40" s="72"/>
      <c r="CG40" s="56"/>
      <c r="CH40" s="57"/>
      <c r="CI40" s="52" t="s">
        <v>142</v>
      </c>
      <c r="CJ40" s="52" t="s">
        <v>142</v>
      </c>
      <c r="CK40" s="52" t="s">
        <v>142</v>
      </c>
      <c r="CL40" s="52" t="s">
        <v>142</v>
      </c>
      <c r="CM40" s="52" t="s">
        <v>142</v>
      </c>
      <c r="CN40" s="52" t="s">
        <v>142</v>
      </c>
      <c r="CO40" s="52" t="s">
        <v>142</v>
      </c>
      <c r="CP40" s="52" t="s">
        <v>142</v>
      </c>
      <c r="CQ40" s="52" t="s">
        <v>142</v>
      </c>
      <c r="CR40" s="52" t="s">
        <v>142</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N40" s="790"/>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47</v>
      </c>
      <c r="B41" s="49"/>
      <c r="C41" s="50"/>
      <c r="D41" s="50"/>
      <c r="E41" s="51"/>
      <c r="F41" s="54"/>
      <c r="G41" s="53"/>
      <c r="H41" s="136"/>
      <c r="I41" s="137"/>
      <c r="J41" s="60"/>
      <c r="K41" s="56"/>
      <c r="L41" s="55"/>
      <c r="M41" s="56" t="s">
        <v>424</v>
      </c>
      <c r="N41" s="57"/>
      <c r="O41" s="114"/>
      <c r="P41" s="96"/>
      <c r="Q41" s="60"/>
      <c r="R41" s="61" t="e">
        <f>VLOOKUP(Sheet_1_Table_1_133[[#This Row],[Learning Domain]],[14]List!$A$7:$B$12,2,0)</f>
        <v>#N/A</v>
      </c>
      <c r="S41" s="55">
        <v>0</v>
      </c>
      <c r="T41" s="55">
        <v>0</v>
      </c>
      <c r="U41" s="55">
        <v>0</v>
      </c>
      <c r="V41" s="55">
        <v>0</v>
      </c>
      <c r="W41" s="55">
        <v>0</v>
      </c>
      <c r="X41" s="55">
        <v>0</v>
      </c>
      <c r="Y41" s="55">
        <v>0</v>
      </c>
      <c r="Z41" s="55">
        <v>0</v>
      </c>
      <c r="AA41" s="55">
        <v>0</v>
      </c>
      <c r="AB41" s="53">
        <f>SUM(Sheet_1_Table_1_133[[#This Row],[Leadership LS]:[Career Development  CR]])</f>
        <v>0</v>
      </c>
      <c r="AC41" s="97"/>
      <c r="AD41" s="55"/>
      <c r="AE41" s="55" t="s">
        <v>142</v>
      </c>
      <c r="AF41" s="55" t="s">
        <v>142</v>
      </c>
      <c r="AG41" s="55" t="s">
        <v>142</v>
      </c>
      <c r="AH41" s="55"/>
      <c r="AI41" s="55"/>
      <c r="AJ41" s="62">
        <f>Sheet_1_Table_1_133[[#This Row],[ILP Units Per Session]]*Sheet_1_Table_1_133[[#This Row],[Quota]]</f>
        <v>0</v>
      </c>
      <c r="AK41" s="63"/>
      <c r="AL41" s="64">
        <f>WEEKDAY(Sheet_1_Table_1_133[[#This Row],[Lesson 1 
Date 
(DD-MMM-YYYY)]])</f>
        <v>7</v>
      </c>
      <c r="AM41" s="65"/>
      <c r="AN41" s="66"/>
      <c r="AO41" s="67"/>
      <c r="AP41" s="68"/>
      <c r="AQ41" s="64">
        <f>WEEKDAY(Sheet_1_Table_1_133[[#This Row],[Lesson 2
Date 
(DD-MMM-YYYY)]]
)</f>
        <v>7</v>
      </c>
      <c r="AR41" s="65"/>
      <c r="AS41" s="66"/>
      <c r="AT41" s="126"/>
      <c r="AU41" s="63"/>
      <c r="AV41" s="64" t="e">
        <f>WEEKDAY([5]!Sheet_1_Table_1_13[[#This Row],[Lesson 3
Date 
(DD-MMM-YYYY)]])</f>
        <v>#REF!</v>
      </c>
      <c r="AW41" s="65"/>
      <c r="AX41" s="66"/>
      <c r="AY41" s="126"/>
      <c r="AZ41" s="98"/>
      <c r="BA41" s="64" t="e">
        <f>WEEKDAY([5]!Sheet_1_Table_1_13[[#This Row],[Lesson 4
Date 
(DD-MMM-YYYY)]])</f>
        <v>#REF!</v>
      </c>
      <c r="BB41" s="65"/>
      <c r="BC41" s="66"/>
      <c r="BD41" s="126"/>
      <c r="BE41" s="63"/>
      <c r="BF41" s="64" t="e">
        <f>WEEKDAY([5]!Sheet_1_Table_1_13[[#This Row],[Lesson 5
Date 
(DD-MMM-YYYY)]])</f>
        <v>#REF!</v>
      </c>
      <c r="BG41" s="65"/>
      <c r="BH41" s="66"/>
      <c r="BI41" s="126"/>
      <c r="BJ41" s="98"/>
      <c r="BK41" s="64" t="e">
        <f>WEEKDAY([5]!Sheet_1_Table_1_13[[#This Row],[Lesson 6
Date 
(DD-MMM-YYYY)]])</f>
        <v>#REF!</v>
      </c>
      <c r="BL41" s="65"/>
      <c r="BM41" s="66"/>
      <c r="BN41" s="99"/>
      <c r="BO41" s="54"/>
      <c r="BP41" s="69"/>
      <c r="BQ41" s="55"/>
      <c r="BR41" s="57"/>
      <c r="BS41" s="54"/>
      <c r="BT41" s="56"/>
      <c r="BU41" s="56"/>
      <c r="BV41" s="57"/>
      <c r="BW41" s="60"/>
      <c r="BX41" s="187"/>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N41" s="790"/>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48</v>
      </c>
      <c r="B42" s="49"/>
      <c r="C42" s="50"/>
      <c r="D42" s="50"/>
      <c r="E42" s="51"/>
      <c r="F42" s="54"/>
      <c r="G42" s="53"/>
      <c r="H42" s="136"/>
      <c r="I42" s="137"/>
      <c r="J42" s="60"/>
      <c r="K42" s="56"/>
      <c r="L42" s="55"/>
      <c r="M42" s="56" t="s">
        <v>424</v>
      </c>
      <c r="N42" s="57"/>
      <c r="O42" s="114"/>
      <c r="P42" s="96"/>
      <c r="Q42" s="60"/>
      <c r="R42" s="77" t="e">
        <f>VLOOKUP(Sheet_1_Table_1_133[[#This Row],[Learning Domain]],[14]List!$A$7:$B$12,2,0)</f>
        <v>#N/A</v>
      </c>
      <c r="S42" s="55">
        <v>0</v>
      </c>
      <c r="T42" s="55">
        <v>0</v>
      </c>
      <c r="U42" s="55">
        <v>0</v>
      </c>
      <c r="V42" s="55">
        <v>0</v>
      </c>
      <c r="W42" s="55">
        <v>0</v>
      </c>
      <c r="X42" s="55">
        <v>0</v>
      </c>
      <c r="Y42" s="55">
        <v>0</v>
      </c>
      <c r="Z42" s="55">
        <v>0</v>
      </c>
      <c r="AA42" s="55">
        <v>0</v>
      </c>
      <c r="AB42" s="53">
        <f>SUM(Sheet_1_Table_1_133[[#This Row],[Leadership LS]:[Career Development  CR]])</f>
        <v>0</v>
      </c>
      <c r="AC42" s="97"/>
      <c r="AD42" s="55"/>
      <c r="AE42" s="55" t="s">
        <v>142</v>
      </c>
      <c r="AF42" s="55" t="s">
        <v>142</v>
      </c>
      <c r="AG42" s="55" t="s">
        <v>142</v>
      </c>
      <c r="AH42" s="55"/>
      <c r="AI42" s="55"/>
      <c r="AJ42" s="62">
        <f>Sheet_1_Table_1_133[[#This Row],[ILP Units Per Session]]*Sheet_1_Table_1_133[[#This Row],[Quota]]</f>
        <v>0</v>
      </c>
      <c r="AK42" s="63"/>
      <c r="AL42" s="64">
        <f>WEEKDAY(Sheet_1_Table_1_133[[#This Row],[Lesson 1 
Date 
(DD-MMM-YYYY)]])</f>
        <v>7</v>
      </c>
      <c r="AM42" s="65"/>
      <c r="AN42" s="66"/>
      <c r="AO42" s="67"/>
      <c r="AP42" s="68"/>
      <c r="AQ42" s="64">
        <f>WEEKDAY(Sheet_1_Table_1_133[[#This Row],[Lesson 2
Date 
(DD-MMM-YYYY)]]
)</f>
        <v>7</v>
      </c>
      <c r="AR42" s="65"/>
      <c r="AS42" s="66"/>
      <c r="AT42" s="126"/>
      <c r="AU42" s="63"/>
      <c r="AV42" s="64" t="e">
        <f>WEEKDAY([5]!Sheet_1_Table_1_13[[#This Row],[Lesson 3
Date 
(DD-MMM-YYYY)]])</f>
        <v>#REF!</v>
      </c>
      <c r="AW42" s="65"/>
      <c r="AX42" s="66"/>
      <c r="AY42" s="126"/>
      <c r="AZ42" s="98"/>
      <c r="BA42" s="64" t="e">
        <f>WEEKDAY([5]!Sheet_1_Table_1_13[[#This Row],[Lesson 4
Date 
(DD-MMM-YYYY)]])</f>
        <v>#REF!</v>
      </c>
      <c r="BB42" s="65"/>
      <c r="BC42" s="66"/>
      <c r="BD42" s="126"/>
      <c r="BE42" s="63"/>
      <c r="BF42" s="64" t="e">
        <f>WEEKDAY([5]!Sheet_1_Table_1_13[[#This Row],[Lesson 5
Date 
(DD-MMM-YYYY)]])</f>
        <v>#REF!</v>
      </c>
      <c r="BG42" s="65"/>
      <c r="BH42" s="66"/>
      <c r="BI42" s="126"/>
      <c r="BJ42" s="98"/>
      <c r="BK42" s="64" t="e">
        <f>WEEKDAY([5]!Sheet_1_Table_1_13[[#This Row],[Lesson 6
Date 
(DD-MMM-YYYY)]])</f>
        <v>#REF!</v>
      </c>
      <c r="BL42" s="65"/>
      <c r="BM42" s="66"/>
      <c r="BN42" s="99"/>
      <c r="BO42" s="54"/>
      <c r="BP42" s="69"/>
      <c r="BQ42" s="55"/>
      <c r="BR42" s="57"/>
      <c r="BS42" s="54"/>
      <c r="BT42" s="56"/>
      <c r="BU42" s="56"/>
      <c r="BV42" s="57"/>
      <c r="BW42" s="60"/>
      <c r="BX42" s="187"/>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N42" s="790"/>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49</v>
      </c>
      <c r="B43" s="49"/>
      <c r="C43" s="50"/>
      <c r="D43" s="50"/>
      <c r="E43" s="51"/>
      <c r="F43" s="54"/>
      <c r="G43" s="53"/>
      <c r="H43" s="136"/>
      <c r="I43" s="137"/>
      <c r="J43" s="60"/>
      <c r="K43" s="56"/>
      <c r="L43" s="55"/>
      <c r="M43" s="56" t="s">
        <v>424</v>
      </c>
      <c r="N43" s="57"/>
      <c r="O43" s="114"/>
      <c r="P43" s="96"/>
      <c r="Q43" s="60"/>
      <c r="R43" s="61" t="e">
        <f>VLOOKUP(Sheet_1_Table_1_133[[#This Row],[Learning Domain]],[14]List!$A$7:$B$12,2,0)</f>
        <v>#N/A</v>
      </c>
      <c r="S43" s="55">
        <v>0</v>
      </c>
      <c r="T43" s="55">
        <v>0</v>
      </c>
      <c r="U43" s="55">
        <v>0</v>
      </c>
      <c r="V43" s="55">
        <v>0</v>
      </c>
      <c r="W43" s="55">
        <v>0</v>
      </c>
      <c r="X43" s="55">
        <v>0</v>
      </c>
      <c r="Y43" s="55">
        <v>0</v>
      </c>
      <c r="Z43" s="55">
        <v>0</v>
      </c>
      <c r="AA43" s="55">
        <v>0</v>
      </c>
      <c r="AB43" s="53">
        <f>SUM(Sheet_1_Table_1_133[[#This Row],[Leadership LS]:[Career Development  CR]])</f>
        <v>0</v>
      </c>
      <c r="AC43" s="97"/>
      <c r="AD43" s="55"/>
      <c r="AE43" s="55" t="s">
        <v>142</v>
      </c>
      <c r="AF43" s="55" t="s">
        <v>142</v>
      </c>
      <c r="AG43" s="55" t="s">
        <v>142</v>
      </c>
      <c r="AH43" s="55"/>
      <c r="AI43" s="55"/>
      <c r="AJ43" s="62">
        <f>Sheet_1_Table_1_133[[#This Row],[ILP Units Per Session]]*Sheet_1_Table_1_133[[#This Row],[Quota]]</f>
        <v>0</v>
      </c>
      <c r="AK43" s="63"/>
      <c r="AL43" s="64">
        <f>WEEKDAY(Sheet_1_Table_1_133[[#This Row],[Lesson 1 
Date 
(DD-MMM-YYYY)]])</f>
        <v>7</v>
      </c>
      <c r="AM43" s="65"/>
      <c r="AN43" s="66"/>
      <c r="AO43" s="67"/>
      <c r="AP43" s="68"/>
      <c r="AQ43" s="64">
        <f>WEEKDAY(Sheet_1_Table_1_133[[#This Row],[Lesson 2
Date 
(DD-MMM-YYYY)]]
)</f>
        <v>7</v>
      </c>
      <c r="AR43" s="65"/>
      <c r="AS43" s="66"/>
      <c r="AT43" s="126"/>
      <c r="AU43" s="63"/>
      <c r="AV43" s="64" t="e">
        <f>WEEKDAY([5]!Sheet_1_Table_1_13[[#This Row],[Lesson 3
Date 
(DD-MMM-YYYY)]])</f>
        <v>#REF!</v>
      </c>
      <c r="AW43" s="65"/>
      <c r="AX43" s="66"/>
      <c r="AY43" s="126"/>
      <c r="AZ43" s="98"/>
      <c r="BA43" s="64" t="e">
        <f>WEEKDAY([5]!Sheet_1_Table_1_13[[#This Row],[Lesson 4
Date 
(DD-MMM-YYYY)]])</f>
        <v>#REF!</v>
      </c>
      <c r="BB43" s="65"/>
      <c r="BC43" s="66"/>
      <c r="BD43" s="126"/>
      <c r="BE43" s="63"/>
      <c r="BF43" s="64" t="e">
        <f>WEEKDAY([5]!Sheet_1_Table_1_13[[#This Row],[Lesson 5
Date 
(DD-MMM-YYYY)]])</f>
        <v>#REF!</v>
      </c>
      <c r="BG43" s="65"/>
      <c r="BH43" s="66"/>
      <c r="BI43" s="126"/>
      <c r="BJ43" s="98"/>
      <c r="BK43" s="64" t="e">
        <f>WEEKDAY([5]!Sheet_1_Table_1_13[[#This Row],[Lesson 6
Date 
(DD-MMM-YYYY)]])</f>
        <v>#REF!</v>
      </c>
      <c r="BL43" s="65"/>
      <c r="BM43" s="66"/>
      <c r="BN43" s="99"/>
      <c r="BO43" s="54"/>
      <c r="BP43" s="69"/>
      <c r="BQ43" s="55"/>
      <c r="BR43" s="57"/>
      <c r="BS43" s="54"/>
      <c r="BT43" s="56"/>
      <c r="BU43" s="56"/>
      <c r="BV43" s="57"/>
      <c r="BW43" s="60"/>
      <c r="BX43" s="187"/>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N43" s="790"/>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50</v>
      </c>
      <c r="B44" s="49"/>
      <c r="C44" s="50"/>
      <c r="D44" s="50"/>
      <c r="E44" s="51"/>
      <c r="F44" s="54"/>
      <c r="G44" s="53"/>
      <c r="H44" s="136"/>
      <c r="I44" s="137"/>
      <c r="J44" s="60"/>
      <c r="K44" s="56"/>
      <c r="L44" s="55"/>
      <c r="M44" s="56" t="s">
        <v>424</v>
      </c>
      <c r="N44" s="57"/>
      <c r="O44" s="114"/>
      <c r="P44" s="96"/>
      <c r="Q44" s="60"/>
      <c r="R44" s="61" t="e">
        <f>VLOOKUP(Sheet_1_Table_1_133[[#This Row],[Learning Domain]],[14]List!$A$7:$B$12,2,0)</f>
        <v>#N/A</v>
      </c>
      <c r="S44" s="55">
        <v>0</v>
      </c>
      <c r="T44" s="55">
        <v>0</v>
      </c>
      <c r="U44" s="55">
        <v>0</v>
      </c>
      <c r="V44" s="55">
        <v>0</v>
      </c>
      <c r="W44" s="55">
        <v>0</v>
      </c>
      <c r="X44" s="55">
        <v>0</v>
      </c>
      <c r="Y44" s="55">
        <v>0</v>
      </c>
      <c r="Z44" s="55">
        <v>0</v>
      </c>
      <c r="AA44" s="55">
        <v>0</v>
      </c>
      <c r="AB44" s="53">
        <f>SUM(Sheet_1_Table_1_133[[#This Row],[Leadership LS]:[Career Development  CR]])</f>
        <v>0</v>
      </c>
      <c r="AC44" s="97"/>
      <c r="AD44" s="55"/>
      <c r="AE44" s="55" t="s">
        <v>142</v>
      </c>
      <c r="AF44" s="55" t="s">
        <v>142</v>
      </c>
      <c r="AG44" s="55" t="s">
        <v>142</v>
      </c>
      <c r="AH44" s="55"/>
      <c r="AI44" s="55"/>
      <c r="AJ44" s="62">
        <f>Sheet_1_Table_1_133[[#This Row],[ILP Units Per Session]]*Sheet_1_Table_1_133[[#This Row],[Quota]]</f>
        <v>0</v>
      </c>
      <c r="AK44" s="63"/>
      <c r="AL44" s="64">
        <f>WEEKDAY(Sheet_1_Table_1_133[[#This Row],[Lesson 1 
Date 
(DD-MMM-YYYY)]])</f>
        <v>7</v>
      </c>
      <c r="AM44" s="65"/>
      <c r="AN44" s="66"/>
      <c r="AO44" s="67"/>
      <c r="AP44" s="68"/>
      <c r="AQ44" s="64">
        <f>WEEKDAY(Sheet_1_Table_1_133[[#This Row],[Lesson 2
Date 
(DD-MMM-YYYY)]]
)</f>
        <v>7</v>
      </c>
      <c r="AR44" s="65"/>
      <c r="AS44" s="66"/>
      <c r="AT44" s="126"/>
      <c r="AU44" s="63"/>
      <c r="AV44" s="64" t="e">
        <f>WEEKDAY([5]!Sheet_1_Table_1_13[[#This Row],[Lesson 3
Date 
(DD-MMM-YYYY)]])</f>
        <v>#REF!</v>
      </c>
      <c r="AW44" s="65"/>
      <c r="AX44" s="66"/>
      <c r="AY44" s="126"/>
      <c r="AZ44" s="98"/>
      <c r="BA44" s="64" t="e">
        <f>WEEKDAY([5]!Sheet_1_Table_1_13[[#This Row],[Lesson 4
Date 
(DD-MMM-YYYY)]])</f>
        <v>#REF!</v>
      </c>
      <c r="BB44" s="65"/>
      <c r="BC44" s="66"/>
      <c r="BD44" s="126"/>
      <c r="BE44" s="63"/>
      <c r="BF44" s="64" t="e">
        <f>WEEKDAY([5]!Sheet_1_Table_1_13[[#This Row],[Lesson 5
Date 
(DD-MMM-YYYY)]])</f>
        <v>#REF!</v>
      </c>
      <c r="BG44" s="65"/>
      <c r="BH44" s="66"/>
      <c r="BI44" s="126"/>
      <c r="BJ44" s="98"/>
      <c r="BK44" s="64" t="e">
        <f>WEEKDAY([5]!Sheet_1_Table_1_13[[#This Row],[Lesson 6
Date 
(DD-MMM-YYYY)]])</f>
        <v>#REF!</v>
      </c>
      <c r="BL44" s="65"/>
      <c r="BM44" s="66"/>
      <c r="BN44" s="99"/>
      <c r="BO44" s="54"/>
      <c r="BP44" s="69"/>
      <c r="BQ44" s="55"/>
      <c r="BR44" s="57"/>
      <c r="BS44" s="54"/>
      <c r="BT44" s="56"/>
      <c r="BU44" s="56"/>
      <c r="BV44" s="57"/>
      <c r="BW44" s="60"/>
      <c r="BX44" s="187"/>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N44" s="790"/>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K17">
    <cfRule type="cellIs" dxfId="62" priority="5" operator="greaterThan">
      <formula>0</formula>
    </cfRule>
  </conditionalFormatting>
  <conditionalFormatting sqref="K20">
    <cfRule type="cellIs" dxfId="61" priority="2" operator="greaterThan">
      <formula>0</formula>
    </cfRule>
  </conditionalFormatting>
  <conditionalFormatting sqref="K18:L19">
    <cfRule type="cellIs" dxfId="60" priority="6" operator="greaterThan">
      <formula>0</formula>
    </cfRule>
  </conditionalFormatting>
  <conditionalFormatting sqref="L3 S3:AA44">
    <cfRule type="cellIs" dxfId="59" priority="16" operator="greaterThan">
      <formula>0</formula>
    </cfRule>
  </conditionalFormatting>
  <conditionalFormatting sqref="AB3:AB44">
    <cfRule type="cellIs" dxfId="58" priority="3" operator="notEqual">
      <formula>100</formula>
    </cfRule>
    <cfRule type="cellIs" dxfId="57" priority="4" operator="equal">
      <formula>100</formula>
    </cfRule>
  </conditionalFormatting>
  <conditionalFormatting sqref="AE3:AG44 CI3:CZ44 DI3:DJ44">
    <cfRule type="containsText" dxfId="56" priority="1" operator="containsText" text="Y">
      <formula>NOT(ISERROR(SEARCH("Y",AE3)))</formula>
    </cfRule>
  </conditionalFormatting>
  <hyperlinks>
    <hyperlink ref="CF3" r:id="rId1" xr:uid="{05996E1D-CD66-4F38-BC3A-FF48B300FE4C}"/>
    <hyperlink ref="CF4" r:id="rId2" xr:uid="{F673C84C-D593-4508-8D92-8BD7639C58D7}"/>
    <hyperlink ref="CF5" r:id="rId3" xr:uid="{465125AF-926D-4109-AD7B-EC278250BED1}"/>
    <hyperlink ref="CF6" r:id="rId4" xr:uid="{B27B06DA-FA01-434D-A2B5-2333EDF18E49}"/>
    <hyperlink ref="CF7" r:id="rId5" xr:uid="{742A2FE2-54DA-48B6-9C3E-555758ACC397}"/>
    <hyperlink ref="CF8" r:id="rId6" xr:uid="{AE953151-3334-4E70-ABB5-3EDB5C1F7A6E}"/>
    <hyperlink ref="CF9" r:id="rId7" xr:uid="{EAD19119-A632-4350-B994-2CEEB7DDBB5D}"/>
    <hyperlink ref="CF10" r:id="rId8" xr:uid="{991AB483-C9D2-4C7C-A2DE-E54DE4760678}"/>
    <hyperlink ref="CF11" r:id="rId9" xr:uid="{44287BEA-A04F-4315-A5B8-CFA1DABDF914}"/>
    <hyperlink ref="CF12" r:id="rId10" xr:uid="{9A6D6E25-BD26-446B-AF3B-37C7966202B1}"/>
    <hyperlink ref="CF15" r:id="rId11" xr:uid="{100D3498-ADF2-422A-9AEB-26EF51278819}"/>
    <hyperlink ref="CF13" r:id="rId12" xr:uid="{9B570A21-A7A5-42EE-9275-C74EDA336D87}"/>
    <hyperlink ref="CF14" r:id="rId13" xr:uid="{9DFED8D5-8384-4B56-9C6D-B4AC9B399505}"/>
    <hyperlink ref="CF16" r:id="rId14" xr:uid="{67C11269-7E66-4310-B83F-74E4DEBEAE03}"/>
    <hyperlink ref="CH16" r:id="rId15" xr:uid="{7B4CA444-0D5D-4C0F-BE60-1B36827CB68C}"/>
    <hyperlink ref="CF17" r:id="rId16" xr:uid="{77F53226-4606-44BF-901D-03E05FF0B482}"/>
    <hyperlink ref="CF18" r:id="rId17" xr:uid="{429B38B6-7675-4379-95E2-57FBD8202803}"/>
    <hyperlink ref="CF19" r:id="rId18" xr:uid="{10C5A61C-5F12-4D63-868E-15482CE5E3C9}"/>
    <hyperlink ref="CH17" r:id="rId19" xr:uid="{CFE7B0BE-A030-4B59-A766-0220E0C80021}"/>
    <hyperlink ref="CH18" r:id="rId20" xr:uid="{E683EFE2-076F-41E9-AB3F-E782612A697D}"/>
    <hyperlink ref="CH19" r:id="rId21" xr:uid="{0478CB64-FDA8-4D22-9DCC-DD3A5983AB24}"/>
    <hyperlink ref="CF20" r:id="rId22" xr:uid="{30686CF1-A6D8-45C0-80DE-C2DC934D1ADC}"/>
    <hyperlink ref="CH20" r:id="rId23" xr:uid="{012D99F7-10C6-4776-AD19-4DADCA16972B}"/>
  </hyperlinks>
  <pageMargins left="0.7" right="0.7" top="0.75" bottom="0.75" header="0.3" footer="0.3"/>
  <pageSetup paperSize="9" scale="27" fitToWidth="0" orientation="portrait" r:id="rId24"/>
  <tableParts count="1">
    <tablePart r:id="rId2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2F068-3EEC-43DA-834E-E4014BA90DDB}">
  <sheetPr>
    <pageSetUpPr fitToPage="1"/>
  </sheetPr>
  <dimension ref="A1:EZ191"/>
  <sheetViews>
    <sheetView topLeftCell="CW58" zoomScale="85" zoomScaleNormal="85" workbookViewId="0">
      <selection activeCell="DN59" sqref="DN59"/>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6" width="14" style="4" bestFit="1" customWidth="1"/>
    <col min="7"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5703125" style="3" customWidth="1"/>
    <col min="70" max="70" width="24.140625" style="3" bestFit="1"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80" t="s">
        <v>0</v>
      </c>
      <c r="C1" s="878"/>
      <c r="D1" s="878"/>
      <c r="E1" s="874"/>
      <c r="F1" s="2"/>
      <c r="G1" s="2"/>
      <c r="H1" s="873" t="s">
        <v>1</v>
      </c>
      <c r="I1" s="874"/>
      <c r="K1" s="873" t="s">
        <v>2</v>
      </c>
      <c r="L1" s="874"/>
      <c r="M1" s="4"/>
      <c r="N1" s="4"/>
      <c r="O1" s="875" t="s">
        <v>3</v>
      </c>
      <c r="P1" s="877"/>
      <c r="Q1" s="873" t="s">
        <v>4</v>
      </c>
      <c r="R1" s="874"/>
      <c r="S1" s="873" t="s">
        <v>5</v>
      </c>
      <c r="T1" s="878"/>
      <c r="U1" s="878"/>
      <c r="V1" s="878"/>
      <c r="W1" s="878"/>
      <c r="X1" s="878"/>
      <c r="Y1" s="878"/>
      <c r="Z1" s="878"/>
      <c r="AA1" s="878"/>
      <c r="AB1" s="874"/>
      <c r="AD1" s="3"/>
      <c r="AE1" s="3"/>
      <c r="AH1" s="875" t="s">
        <v>6</v>
      </c>
      <c r="AI1" s="876"/>
      <c r="AJ1" s="877"/>
      <c r="AK1" s="5" t="s">
        <v>7</v>
      </c>
      <c r="AL1" s="3"/>
      <c r="AM1" s="3"/>
      <c r="AN1" s="3"/>
      <c r="AP1" s="875" t="s">
        <v>8</v>
      </c>
      <c r="AQ1" s="876"/>
      <c r="AR1" s="876"/>
      <c r="AS1" s="876"/>
      <c r="AT1" s="876"/>
      <c r="AU1" s="876"/>
      <c r="AV1" s="876"/>
      <c r="AW1" s="876"/>
      <c r="AX1" s="876"/>
      <c r="AY1" s="876"/>
      <c r="AZ1" s="876"/>
      <c r="BA1" s="876"/>
      <c r="BB1" s="876"/>
      <c r="BC1" s="876"/>
      <c r="BD1" s="876"/>
      <c r="BE1" s="876"/>
      <c r="BF1" s="876"/>
      <c r="BG1" s="876"/>
      <c r="BH1" s="876"/>
      <c r="BI1" s="876"/>
      <c r="BJ1" s="876"/>
      <c r="BK1" s="876"/>
      <c r="BL1" s="876"/>
      <c r="BM1" s="876"/>
      <c r="BN1" s="877"/>
      <c r="BP1" s="5" t="s">
        <v>9</v>
      </c>
      <c r="BQ1" s="5" t="s">
        <v>10</v>
      </c>
      <c r="BR1" s="4"/>
      <c r="BT1" s="4"/>
      <c r="BU1" s="4"/>
      <c r="BV1" s="4"/>
      <c r="BW1" s="873" t="s">
        <v>11</v>
      </c>
      <c r="BX1" s="878"/>
      <c r="BY1" s="878"/>
      <c r="BZ1" s="878"/>
      <c r="CA1" s="874"/>
      <c r="CB1" s="879"/>
      <c r="CC1" s="879"/>
      <c r="CD1" s="879"/>
      <c r="CE1" s="873" t="s">
        <v>12</v>
      </c>
      <c r="CF1" s="878"/>
      <c r="CG1" s="878"/>
      <c r="CH1" s="874"/>
      <c r="CI1" s="6"/>
      <c r="CJ1" s="875" t="s">
        <v>13</v>
      </c>
      <c r="CK1" s="876"/>
      <c r="CL1" s="876"/>
      <c r="CM1" s="876"/>
      <c r="CN1" s="876"/>
      <c r="CO1" s="876"/>
      <c r="CP1" s="876"/>
      <c r="CQ1" s="876"/>
      <c r="CR1" s="876"/>
      <c r="CS1" s="876"/>
      <c r="CT1" s="876"/>
      <c r="CU1" s="876"/>
      <c r="CV1" s="876"/>
      <c r="CW1" s="876"/>
      <c r="CX1" s="876"/>
      <c r="CY1" s="876"/>
      <c r="CZ1" s="877"/>
      <c r="DB1" s="7"/>
      <c r="DC1" s="7"/>
      <c r="DD1" s="4"/>
      <c r="DE1" s="7"/>
      <c r="DF1" s="7"/>
      <c r="DG1" s="7"/>
      <c r="DH1" s="4"/>
      <c r="DI1" s="873" t="s">
        <v>14</v>
      </c>
      <c r="DJ1" s="874"/>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c r="DN2" s="792" t="s">
        <v>2236</v>
      </c>
    </row>
    <row r="3" spans="1:156" ht="80.099999999999994" customHeight="1">
      <c r="A3" s="48">
        <v>1</v>
      </c>
      <c r="B3" s="49">
        <v>202609</v>
      </c>
      <c r="C3" s="50" t="s">
        <v>1594</v>
      </c>
      <c r="D3" s="50" t="s">
        <v>133</v>
      </c>
      <c r="E3" s="51">
        <v>5994</v>
      </c>
      <c r="F3" s="52" t="s">
        <v>134</v>
      </c>
      <c r="G3" s="53" t="s">
        <v>347</v>
      </c>
      <c r="H3" s="52" t="s">
        <v>136</v>
      </c>
      <c r="I3" s="70" t="s">
        <v>1595</v>
      </c>
      <c r="J3" s="60" t="s">
        <v>1596</v>
      </c>
      <c r="K3" s="56" t="s">
        <v>1597</v>
      </c>
      <c r="L3" s="55"/>
      <c r="M3" s="56" t="s">
        <v>1598</v>
      </c>
      <c r="N3" s="57" t="s">
        <v>1599</v>
      </c>
      <c r="O3" s="162" t="s">
        <v>142</v>
      </c>
      <c r="P3" s="59" t="s">
        <v>146</v>
      </c>
      <c r="Q3" s="60" t="s">
        <v>1600</v>
      </c>
      <c r="R3" s="61" t="s">
        <v>1601</v>
      </c>
      <c r="S3" s="55">
        <v>0</v>
      </c>
      <c r="T3" s="55">
        <v>20</v>
      </c>
      <c r="U3" s="55">
        <v>0</v>
      </c>
      <c r="V3" s="55">
        <v>0</v>
      </c>
      <c r="W3" s="55">
        <v>0</v>
      </c>
      <c r="X3" s="55">
        <v>0</v>
      </c>
      <c r="Y3" s="55">
        <v>80</v>
      </c>
      <c r="Z3" s="55">
        <v>0</v>
      </c>
      <c r="AA3" s="55">
        <v>0</v>
      </c>
      <c r="AB3" s="53">
        <v>100</v>
      </c>
      <c r="AC3" s="52" t="s">
        <v>245</v>
      </c>
      <c r="AD3" s="55" t="s">
        <v>190</v>
      </c>
      <c r="AE3" s="55" t="s">
        <v>146</v>
      </c>
      <c r="AF3" s="55" t="s">
        <v>142</v>
      </c>
      <c r="AG3" s="55" t="s">
        <v>142</v>
      </c>
      <c r="AH3" s="55">
        <v>1</v>
      </c>
      <c r="AI3" s="55">
        <v>20</v>
      </c>
      <c r="AJ3" s="62">
        <v>20</v>
      </c>
      <c r="AK3" s="421">
        <v>46269</v>
      </c>
      <c r="AL3" s="64" t="str">
        <f>TEXT(Sheet_1_Table_1_136[[#This Row],[Lesson 1 
Date 
(DD-MMM-YYYY)]], "ddd")</f>
        <v>Fri</v>
      </c>
      <c r="AM3" s="65">
        <v>0.66666666666666663</v>
      </c>
      <c r="AN3" s="66">
        <v>0.70833333333333337</v>
      </c>
      <c r="AO3" s="67" t="s">
        <v>1602</v>
      </c>
      <c r="AP3" s="68"/>
      <c r="AQ3" s="64">
        <v>7</v>
      </c>
      <c r="AR3" s="65"/>
      <c r="AS3" s="66"/>
      <c r="AT3" s="66"/>
      <c r="AU3" s="63"/>
      <c r="AV3" s="64">
        <v>7</v>
      </c>
      <c r="AW3" s="65"/>
      <c r="AX3" s="66"/>
      <c r="AY3" s="67"/>
      <c r="AZ3" s="68"/>
      <c r="BA3" s="64">
        <v>7</v>
      </c>
      <c r="BB3" s="65"/>
      <c r="BC3" s="66"/>
      <c r="BD3" s="66"/>
      <c r="BE3" s="63"/>
      <c r="BF3" s="64">
        <v>7</v>
      </c>
      <c r="BG3" s="65"/>
      <c r="BH3" s="66"/>
      <c r="BI3" s="67"/>
      <c r="BJ3" s="68"/>
      <c r="BK3" s="64">
        <v>7</v>
      </c>
      <c r="BL3" s="65"/>
      <c r="BM3" s="66"/>
      <c r="BN3" s="66"/>
      <c r="BO3" s="54" t="s">
        <v>1603</v>
      </c>
      <c r="BP3" s="69" t="s">
        <v>435</v>
      </c>
      <c r="BQ3" s="55" t="s">
        <v>490</v>
      </c>
      <c r="BR3" s="57" t="s">
        <v>1604</v>
      </c>
      <c r="BS3" s="52"/>
      <c r="BT3" s="56"/>
      <c r="BU3" s="56"/>
      <c r="BV3" s="70"/>
      <c r="BW3" s="60"/>
      <c r="BX3" s="71"/>
      <c r="BY3" s="56"/>
      <c r="BZ3" s="56"/>
      <c r="CA3" s="56"/>
      <c r="CB3" s="72"/>
      <c r="CC3" s="72"/>
      <c r="CD3" s="71"/>
      <c r="CE3" s="60" t="s">
        <v>1605</v>
      </c>
      <c r="CF3" s="71" t="s">
        <v>1606</v>
      </c>
      <c r="CG3" s="56" t="s">
        <v>406</v>
      </c>
      <c r="CH3" s="57" t="s">
        <v>407</v>
      </c>
      <c r="CI3" s="52" t="s">
        <v>146</v>
      </c>
      <c r="CJ3" s="52" t="s">
        <v>142</v>
      </c>
      <c r="CK3" s="52" t="s">
        <v>142</v>
      </c>
      <c r="CL3" s="52" t="s">
        <v>142</v>
      </c>
      <c r="CM3" s="52" t="s">
        <v>142</v>
      </c>
      <c r="CN3" s="52" t="s">
        <v>142</v>
      </c>
      <c r="CO3" s="52" t="s">
        <v>142</v>
      </c>
      <c r="CP3" s="52" t="s">
        <v>142</v>
      </c>
      <c r="CQ3" s="52" t="s">
        <v>142</v>
      </c>
      <c r="CR3" s="52" t="s">
        <v>142</v>
      </c>
      <c r="CS3" s="52" t="s">
        <v>142</v>
      </c>
      <c r="CT3" s="52" t="s">
        <v>146</v>
      </c>
      <c r="CU3" s="52" t="s">
        <v>146</v>
      </c>
      <c r="CV3" s="52" t="s">
        <v>146</v>
      </c>
      <c r="CW3" s="52" t="s">
        <v>146</v>
      </c>
      <c r="CX3" s="52" t="s">
        <v>146</v>
      </c>
      <c r="CY3" s="52" t="s">
        <v>142</v>
      </c>
      <c r="CZ3" s="59" t="s">
        <v>142</v>
      </c>
      <c r="DA3" s="74" t="s">
        <v>142</v>
      </c>
      <c r="DB3" s="75" t="s">
        <v>142</v>
      </c>
      <c r="DC3" s="50" t="s">
        <v>156</v>
      </c>
      <c r="DD3" s="50" t="s">
        <v>146</v>
      </c>
      <c r="DE3" s="50" t="s">
        <v>157</v>
      </c>
      <c r="DF3" s="50" t="s">
        <v>146</v>
      </c>
      <c r="DG3" s="73"/>
      <c r="DH3" s="73"/>
      <c r="DI3" s="74"/>
      <c r="DJ3" s="75"/>
      <c r="DK3" s="76" t="s">
        <v>146</v>
      </c>
      <c r="DL3" s="76" t="s">
        <v>146</v>
      </c>
      <c r="DM3" s="76" t="s">
        <v>146</v>
      </c>
      <c r="DN3" s="790"/>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2</v>
      </c>
      <c r="B4" s="49">
        <v>202609</v>
      </c>
      <c r="C4" s="50" t="s">
        <v>1607</v>
      </c>
      <c r="D4" s="50" t="s">
        <v>133</v>
      </c>
      <c r="E4" s="51">
        <v>5996</v>
      </c>
      <c r="F4" s="52" t="s">
        <v>134</v>
      </c>
      <c r="G4" s="53" t="s">
        <v>347</v>
      </c>
      <c r="H4" s="52"/>
      <c r="I4" s="70"/>
      <c r="J4" s="60"/>
      <c r="K4" s="56" t="s">
        <v>1608</v>
      </c>
      <c r="L4" s="55"/>
      <c r="M4" s="56" t="s">
        <v>1609</v>
      </c>
      <c r="N4" s="57" t="s">
        <v>1610</v>
      </c>
      <c r="O4" s="177" t="s">
        <v>142</v>
      </c>
      <c r="P4" s="59" t="s">
        <v>146</v>
      </c>
      <c r="Q4" s="60" t="s">
        <v>1600</v>
      </c>
      <c r="R4" s="61" t="s">
        <v>1601</v>
      </c>
      <c r="S4" s="55">
        <v>0</v>
      </c>
      <c r="T4" s="55">
        <v>0</v>
      </c>
      <c r="U4" s="55">
        <v>0</v>
      </c>
      <c r="V4" s="55">
        <v>0</v>
      </c>
      <c r="W4" s="55">
        <v>70</v>
      </c>
      <c r="X4" s="55">
        <v>30</v>
      </c>
      <c r="Y4" s="55">
        <v>0</v>
      </c>
      <c r="Z4" s="55">
        <v>0</v>
      </c>
      <c r="AA4" s="55">
        <v>0</v>
      </c>
      <c r="AB4" s="53">
        <v>100</v>
      </c>
      <c r="AC4" s="52" t="s">
        <v>199</v>
      </c>
      <c r="AD4" s="55" t="s">
        <v>190</v>
      </c>
      <c r="AE4" s="55" t="s">
        <v>146</v>
      </c>
      <c r="AF4" s="55" t="s">
        <v>146</v>
      </c>
      <c r="AG4" s="55" t="s">
        <v>142</v>
      </c>
      <c r="AH4" s="55">
        <v>6</v>
      </c>
      <c r="AI4" s="55">
        <v>10</v>
      </c>
      <c r="AJ4" s="62">
        <v>60</v>
      </c>
      <c r="AK4" s="63">
        <v>46273</v>
      </c>
      <c r="AL4" s="64" t="str">
        <f>TEXT(Sheet_1_Table_1_136[[#This Row],[Lesson 1 
Date 
(DD-MMM-YYYY)]], "ddd")</f>
        <v>Tue</v>
      </c>
      <c r="AM4" s="65">
        <v>0.77083333333333337</v>
      </c>
      <c r="AN4" s="66">
        <v>0.85416666666666663</v>
      </c>
      <c r="AO4" s="67" t="s">
        <v>871</v>
      </c>
      <c r="AP4" s="68">
        <v>46275</v>
      </c>
      <c r="AQ4" s="64">
        <v>5</v>
      </c>
      <c r="AR4" s="65">
        <v>0.77083333333333337</v>
      </c>
      <c r="AS4" s="66">
        <v>0.83333333333333337</v>
      </c>
      <c r="AT4" s="66" t="s">
        <v>871</v>
      </c>
      <c r="AU4" s="63">
        <v>46280</v>
      </c>
      <c r="AV4" s="64">
        <v>3</v>
      </c>
      <c r="AW4" s="65">
        <v>0.77083333333333337</v>
      </c>
      <c r="AX4" s="66">
        <v>0.83333333333333337</v>
      </c>
      <c r="AY4" s="67" t="s">
        <v>400</v>
      </c>
      <c r="AZ4" s="68">
        <v>46282</v>
      </c>
      <c r="BA4" s="64">
        <v>5</v>
      </c>
      <c r="BB4" s="65">
        <v>0.77083333333333337</v>
      </c>
      <c r="BC4" s="66">
        <v>0.83333333333333337</v>
      </c>
      <c r="BD4" s="66" t="s">
        <v>871</v>
      </c>
      <c r="BE4" s="63">
        <v>46287</v>
      </c>
      <c r="BF4" s="64">
        <v>3</v>
      </c>
      <c r="BG4" s="65">
        <v>0.77083333333333337</v>
      </c>
      <c r="BH4" s="66">
        <v>0.83333333333333337</v>
      </c>
      <c r="BI4" s="67" t="s">
        <v>871</v>
      </c>
      <c r="BJ4" s="68">
        <v>46289</v>
      </c>
      <c r="BK4" s="64">
        <v>5</v>
      </c>
      <c r="BL4" s="65">
        <v>0.77083333333333337</v>
      </c>
      <c r="BM4" s="66">
        <v>0.83333333333333337</v>
      </c>
      <c r="BN4" s="66" t="s">
        <v>871</v>
      </c>
      <c r="BO4" s="54" t="s">
        <v>293</v>
      </c>
      <c r="BP4" s="69" t="s">
        <v>1611</v>
      </c>
      <c r="BQ4" s="55" t="s">
        <v>1612</v>
      </c>
      <c r="BR4" s="57" t="s">
        <v>1613</v>
      </c>
      <c r="BS4" s="52"/>
      <c r="BT4" s="56"/>
      <c r="BU4" s="56"/>
      <c r="BV4" s="70"/>
      <c r="BW4" s="60"/>
      <c r="BX4" s="71"/>
      <c r="BY4" s="56"/>
      <c r="BZ4" s="56"/>
      <c r="CA4" s="56"/>
      <c r="CB4" s="72"/>
      <c r="CC4" s="72"/>
      <c r="CD4" s="71"/>
      <c r="CE4" s="60" t="s">
        <v>404</v>
      </c>
      <c r="CF4" s="71" t="s">
        <v>405</v>
      </c>
      <c r="CG4" s="56" t="s">
        <v>406</v>
      </c>
      <c r="CH4" s="57" t="s">
        <v>407</v>
      </c>
      <c r="CI4" s="52" t="s">
        <v>146</v>
      </c>
      <c r="CJ4" s="52" t="s">
        <v>142</v>
      </c>
      <c r="CK4" s="52" t="s">
        <v>142</v>
      </c>
      <c r="CL4" s="52" t="s">
        <v>142</v>
      </c>
      <c r="CM4" s="52" t="s">
        <v>146</v>
      </c>
      <c r="CN4" s="52" t="s">
        <v>142</v>
      </c>
      <c r="CO4" s="52" t="s">
        <v>142</v>
      </c>
      <c r="CP4" s="52" t="s">
        <v>142</v>
      </c>
      <c r="CQ4" s="52" t="s">
        <v>142</v>
      </c>
      <c r="CR4" s="52" t="s">
        <v>142</v>
      </c>
      <c r="CS4" s="52" t="s">
        <v>146</v>
      </c>
      <c r="CT4" s="52" t="s">
        <v>142</v>
      </c>
      <c r="CU4" s="52" t="s">
        <v>142</v>
      </c>
      <c r="CV4" s="52" t="s">
        <v>142</v>
      </c>
      <c r="CW4" s="52" t="s">
        <v>142</v>
      </c>
      <c r="CX4" s="52" t="s">
        <v>142</v>
      </c>
      <c r="CY4" s="52" t="s">
        <v>142</v>
      </c>
      <c r="CZ4" s="59" t="s">
        <v>142</v>
      </c>
      <c r="DA4" s="74" t="s">
        <v>142</v>
      </c>
      <c r="DB4" s="75" t="s">
        <v>142</v>
      </c>
      <c r="DC4" s="50" t="s">
        <v>156</v>
      </c>
      <c r="DD4" s="50" t="s">
        <v>146</v>
      </c>
      <c r="DE4" s="50" t="s">
        <v>157</v>
      </c>
      <c r="DF4" s="50" t="s">
        <v>146</v>
      </c>
      <c r="DG4" s="216"/>
      <c r="DH4" s="216"/>
      <c r="DI4" s="74"/>
      <c r="DJ4" s="75"/>
      <c r="DK4" s="217" t="s">
        <v>146</v>
      </c>
      <c r="DL4" s="217" t="s">
        <v>146</v>
      </c>
      <c r="DM4" s="217" t="s">
        <v>146</v>
      </c>
      <c r="DN4" s="790"/>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3</v>
      </c>
      <c r="B5" s="49">
        <v>202609</v>
      </c>
      <c r="C5" s="50" t="s">
        <v>1614</v>
      </c>
      <c r="D5" s="50" t="s">
        <v>133</v>
      </c>
      <c r="E5" s="51">
        <v>5997</v>
      </c>
      <c r="F5" s="52" t="s">
        <v>134</v>
      </c>
      <c r="G5" s="53" t="s">
        <v>347</v>
      </c>
      <c r="H5" s="52" t="s">
        <v>136</v>
      </c>
      <c r="I5" s="70" t="s">
        <v>1595</v>
      </c>
      <c r="J5" s="60" t="s">
        <v>1615</v>
      </c>
      <c r="K5" s="56" t="s">
        <v>1616</v>
      </c>
      <c r="L5" s="55"/>
      <c r="M5" s="56" t="s">
        <v>1617</v>
      </c>
      <c r="N5" s="57" t="s">
        <v>1618</v>
      </c>
      <c r="O5" s="177" t="s">
        <v>142</v>
      </c>
      <c r="P5" s="59" t="s">
        <v>146</v>
      </c>
      <c r="Q5" s="60" t="s">
        <v>1600</v>
      </c>
      <c r="R5" s="77" t="s">
        <v>1601</v>
      </c>
      <c r="S5" s="55">
        <v>0</v>
      </c>
      <c r="T5" s="55">
        <v>0</v>
      </c>
      <c r="U5" s="55">
        <v>15</v>
      </c>
      <c r="V5" s="55">
        <v>15</v>
      </c>
      <c r="W5" s="55">
        <v>0</v>
      </c>
      <c r="X5" s="55">
        <v>0</v>
      </c>
      <c r="Y5" s="55">
        <v>70</v>
      </c>
      <c r="Z5" s="55">
        <v>0</v>
      </c>
      <c r="AA5" s="55">
        <v>0</v>
      </c>
      <c r="AB5" s="53">
        <v>100</v>
      </c>
      <c r="AC5" s="52" t="s">
        <v>199</v>
      </c>
      <c r="AD5" s="55" t="s">
        <v>190</v>
      </c>
      <c r="AE5" s="55" t="s">
        <v>146</v>
      </c>
      <c r="AF5" s="55" t="s">
        <v>146</v>
      </c>
      <c r="AG5" s="55" t="s">
        <v>146</v>
      </c>
      <c r="AH5" s="55">
        <v>1.5</v>
      </c>
      <c r="AI5" s="55">
        <v>15</v>
      </c>
      <c r="AJ5" s="62">
        <v>22.5</v>
      </c>
      <c r="AK5" s="63">
        <v>46275</v>
      </c>
      <c r="AL5" s="64" t="str">
        <f>TEXT(Sheet_1_Table_1_136[[#This Row],[Lesson 1 
Date 
(DD-MMM-YYYY)]], "ddd")</f>
        <v>Thu</v>
      </c>
      <c r="AM5" s="65">
        <v>0.66666666666666663</v>
      </c>
      <c r="AN5" s="66">
        <v>0.72916666666666663</v>
      </c>
      <c r="AO5" s="67" t="s">
        <v>1619</v>
      </c>
      <c r="AP5" s="68"/>
      <c r="AQ5" s="64">
        <v>7</v>
      </c>
      <c r="AR5" s="65"/>
      <c r="AS5" s="66"/>
      <c r="AT5" s="66"/>
      <c r="AU5" s="63"/>
      <c r="AV5" s="64">
        <v>7</v>
      </c>
      <c r="AW5" s="65"/>
      <c r="AX5" s="66"/>
      <c r="AY5" s="67"/>
      <c r="AZ5" s="68"/>
      <c r="BA5" s="64">
        <v>7</v>
      </c>
      <c r="BB5" s="65"/>
      <c r="BC5" s="66"/>
      <c r="BD5" s="66"/>
      <c r="BE5" s="63"/>
      <c r="BF5" s="64">
        <v>7</v>
      </c>
      <c r="BG5" s="65"/>
      <c r="BH5" s="66"/>
      <c r="BI5" s="67"/>
      <c r="BJ5" s="68"/>
      <c r="BK5" s="64">
        <v>7</v>
      </c>
      <c r="BL5" s="65"/>
      <c r="BM5" s="66"/>
      <c r="BN5" s="66"/>
      <c r="BO5" s="54" t="s">
        <v>163</v>
      </c>
      <c r="BP5" s="69" t="s">
        <v>1620</v>
      </c>
      <c r="BQ5" s="55" t="s">
        <v>1621</v>
      </c>
      <c r="BR5" s="57" t="s">
        <v>1622</v>
      </c>
      <c r="BS5" s="52"/>
      <c r="BT5" s="56"/>
      <c r="BU5" s="56"/>
      <c r="BV5" s="70"/>
      <c r="BW5" s="60"/>
      <c r="BX5" s="71"/>
      <c r="BY5" s="56"/>
      <c r="BZ5" s="56"/>
      <c r="CA5" s="56"/>
      <c r="CB5" s="72"/>
      <c r="CC5" s="72"/>
      <c r="CD5" s="71"/>
      <c r="CE5" s="60" t="s">
        <v>1605</v>
      </c>
      <c r="CF5" s="71" t="s">
        <v>1606</v>
      </c>
      <c r="CG5" s="56" t="s">
        <v>406</v>
      </c>
      <c r="CH5" s="57" t="s">
        <v>407</v>
      </c>
      <c r="CI5" s="52" t="s">
        <v>146</v>
      </c>
      <c r="CJ5" s="52" t="s">
        <v>142</v>
      </c>
      <c r="CK5" s="52" t="s">
        <v>142</v>
      </c>
      <c r="CL5" s="52" t="s">
        <v>142</v>
      </c>
      <c r="CM5" s="52" t="s">
        <v>142</v>
      </c>
      <c r="CN5" s="52" t="s">
        <v>142</v>
      </c>
      <c r="CO5" s="52" t="s">
        <v>146</v>
      </c>
      <c r="CP5" s="52" t="s">
        <v>142</v>
      </c>
      <c r="CQ5" s="52" t="s">
        <v>142</v>
      </c>
      <c r="CR5" s="52" t="s">
        <v>142</v>
      </c>
      <c r="CS5" s="52" t="s">
        <v>142</v>
      </c>
      <c r="CT5" s="52" t="s">
        <v>146</v>
      </c>
      <c r="CU5" s="52" t="s">
        <v>146</v>
      </c>
      <c r="CV5" s="52" t="s">
        <v>142</v>
      </c>
      <c r="CW5" s="52" t="s">
        <v>142</v>
      </c>
      <c r="CX5" s="52" t="s">
        <v>146</v>
      </c>
      <c r="CY5" s="52" t="s">
        <v>142</v>
      </c>
      <c r="CZ5" s="59" t="s">
        <v>142</v>
      </c>
      <c r="DA5" s="74" t="s">
        <v>142</v>
      </c>
      <c r="DB5" s="75" t="s">
        <v>142</v>
      </c>
      <c r="DC5" s="50" t="s">
        <v>156</v>
      </c>
      <c r="DD5" s="50" t="s">
        <v>146</v>
      </c>
      <c r="DE5" s="50" t="s">
        <v>157</v>
      </c>
      <c r="DF5" s="50" t="s">
        <v>146</v>
      </c>
      <c r="DG5" s="216"/>
      <c r="DH5" s="216"/>
      <c r="DI5" s="74"/>
      <c r="DJ5" s="75"/>
      <c r="DK5" s="217" t="s">
        <v>146</v>
      </c>
      <c r="DL5" s="217" t="s">
        <v>146</v>
      </c>
      <c r="DM5" s="217" t="s">
        <v>146</v>
      </c>
      <c r="DN5" s="790"/>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4</v>
      </c>
      <c r="B6" s="49">
        <v>202609</v>
      </c>
      <c r="C6" s="50" t="s">
        <v>1623</v>
      </c>
      <c r="D6" s="50" t="s">
        <v>133</v>
      </c>
      <c r="E6" s="51">
        <v>5999</v>
      </c>
      <c r="F6" s="52" t="s">
        <v>134</v>
      </c>
      <c r="G6" s="53" t="s">
        <v>347</v>
      </c>
      <c r="H6" s="52" t="s">
        <v>136</v>
      </c>
      <c r="I6" s="70" t="s">
        <v>1595</v>
      </c>
      <c r="J6" s="60"/>
      <c r="K6" s="56" t="s">
        <v>1624</v>
      </c>
      <c r="L6" s="55"/>
      <c r="M6" s="56" t="s">
        <v>1625</v>
      </c>
      <c r="N6" s="57" t="s">
        <v>1626</v>
      </c>
      <c r="O6" s="177" t="s">
        <v>142</v>
      </c>
      <c r="P6" s="59" t="s">
        <v>146</v>
      </c>
      <c r="Q6" s="60" t="s">
        <v>1600</v>
      </c>
      <c r="R6" s="77" t="s">
        <v>1601</v>
      </c>
      <c r="S6" s="55">
        <v>0</v>
      </c>
      <c r="T6" s="55">
        <v>0</v>
      </c>
      <c r="U6" s="55">
        <v>0</v>
      </c>
      <c r="V6" s="55">
        <v>0</v>
      </c>
      <c r="W6" s="55">
        <v>70</v>
      </c>
      <c r="X6" s="55">
        <v>30</v>
      </c>
      <c r="Y6" s="55">
        <v>0</v>
      </c>
      <c r="Z6" s="55">
        <v>0</v>
      </c>
      <c r="AA6" s="55">
        <v>0</v>
      </c>
      <c r="AB6" s="53">
        <v>100</v>
      </c>
      <c r="AC6" s="52" t="s">
        <v>144</v>
      </c>
      <c r="AD6" s="55" t="s">
        <v>386</v>
      </c>
      <c r="AE6" s="55" t="s">
        <v>146</v>
      </c>
      <c r="AF6" s="55" t="s">
        <v>142</v>
      </c>
      <c r="AG6" s="55" t="s">
        <v>142</v>
      </c>
      <c r="AH6" s="55">
        <v>1</v>
      </c>
      <c r="AI6" s="55">
        <v>300</v>
      </c>
      <c r="AJ6" s="62">
        <v>300</v>
      </c>
      <c r="AK6" s="63">
        <v>46279</v>
      </c>
      <c r="AL6" s="64" t="str">
        <f>TEXT(Sheet_1_Table_1_136[[#This Row],[Lesson 1 
Date 
(DD-MMM-YYYY)]], "ddd")</f>
        <v>Mon</v>
      </c>
      <c r="AM6" s="65">
        <v>0.66666666666666663</v>
      </c>
      <c r="AN6" s="66">
        <v>0.70833333333333337</v>
      </c>
      <c r="AO6" s="67" t="s">
        <v>182</v>
      </c>
      <c r="AP6" s="68"/>
      <c r="AQ6" s="64">
        <v>7</v>
      </c>
      <c r="AR6" s="65"/>
      <c r="AS6" s="66"/>
      <c r="AT6" s="66"/>
      <c r="AU6" s="63"/>
      <c r="AV6" s="64">
        <v>7</v>
      </c>
      <c r="AW6" s="65"/>
      <c r="AX6" s="66"/>
      <c r="AY6" s="67"/>
      <c r="AZ6" s="68"/>
      <c r="BA6" s="64">
        <v>7</v>
      </c>
      <c r="BB6" s="65"/>
      <c r="BC6" s="66"/>
      <c r="BD6" s="66"/>
      <c r="BE6" s="63"/>
      <c r="BF6" s="64">
        <v>7</v>
      </c>
      <c r="BG6" s="65"/>
      <c r="BH6" s="66"/>
      <c r="BI6" s="67"/>
      <c r="BJ6" s="68"/>
      <c r="BK6" s="64">
        <v>7</v>
      </c>
      <c r="BL6" s="65"/>
      <c r="BM6" s="66"/>
      <c r="BN6" s="66"/>
      <c r="BO6" s="54" t="s">
        <v>293</v>
      </c>
      <c r="BP6" s="69" t="s">
        <v>1611</v>
      </c>
      <c r="BQ6" s="55" t="s">
        <v>1612</v>
      </c>
      <c r="BR6" s="57" t="s">
        <v>1613</v>
      </c>
      <c r="BS6" s="52"/>
      <c r="BT6" s="56"/>
      <c r="BU6" s="56"/>
      <c r="BV6" s="70"/>
      <c r="BW6" s="60"/>
      <c r="BX6" s="71"/>
      <c r="BY6" s="56"/>
      <c r="BZ6" s="56"/>
      <c r="CA6" s="56"/>
      <c r="CB6" s="72" t="s">
        <v>1627</v>
      </c>
      <c r="CC6" s="72" t="s">
        <v>1628</v>
      </c>
      <c r="CD6" s="71">
        <v>65409718</v>
      </c>
      <c r="CE6" s="60" t="s">
        <v>404</v>
      </c>
      <c r="CF6" s="71" t="s">
        <v>405</v>
      </c>
      <c r="CG6" s="56" t="s">
        <v>406</v>
      </c>
      <c r="CH6" s="57" t="s">
        <v>407</v>
      </c>
      <c r="CI6" s="52" t="s">
        <v>146</v>
      </c>
      <c r="CJ6" s="52" t="s">
        <v>142</v>
      </c>
      <c r="CK6" s="52" t="s">
        <v>142</v>
      </c>
      <c r="CL6" s="52" t="s">
        <v>142</v>
      </c>
      <c r="CM6" s="52" t="s">
        <v>146</v>
      </c>
      <c r="CN6" s="52" t="s">
        <v>142</v>
      </c>
      <c r="CO6" s="52" t="s">
        <v>142</v>
      </c>
      <c r="CP6" s="52" t="s">
        <v>142</v>
      </c>
      <c r="CQ6" s="52" t="s">
        <v>146</v>
      </c>
      <c r="CR6" s="52" t="s">
        <v>142</v>
      </c>
      <c r="CS6" s="52" t="s">
        <v>142</v>
      </c>
      <c r="CT6" s="52" t="s">
        <v>142</v>
      </c>
      <c r="CU6" s="52" t="s">
        <v>142</v>
      </c>
      <c r="CV6" s="52" t="s">
        <v>142</v>
      </c>
      <c r="CW6" s="52" t="s">
        <v>142</v>
      </c>
      <c r="CX6" s="52" t="s">
        <v>142</v>
      </c>
      <c r="CY6" s="52" t="s">
        <v>142</v>
      </c>
      <c r="CZ6" s="59" t="s">
        <v>142</v>
      </c>
      <c r="DA6" s="74" t="s">
        <v>142</v>
      </c>
      <c r="DB6" s="75" t="s">
        <v>142</v>
      </c>
      <c r="DC6" s="50" t="s">
        <v>156</v>
      </c>
      <c r="DD6" s="50" t="s">
        <v>146</v>
      </c>
      <c r="DE6" s="50" t="s">
        <v>157</v>
      </c>
      <c r="DF6" s="50" t="s">
        <v>146</v>
      </c>
      <c r="DG6" s="73"/>
      <c r="DH6" s="73"/>
      <c r="DI6" s="74"/>
      <c r="DJ6" s="75"/>
      <c r="DK6" s="76" t="s">
        <v>146</v>
      </c>
      <c r="DL6" s="76" t="s">
        <v>146</v>
      </c>
      <c r="DM6" s="76" t="s">
        <v>146</v>
      </c>
      <c r="DN6" s="790"/>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5</v>
      </c>
      <c r="B7" s="49">
        <v>202609</v>
      </c>
      <c r="C7" s="50" t="s">
        <v>1629</v>
      </c>
      <c r="D7" s="50" t="s">
        <v>251</v>
      </c>
      <c r="E7" s="51">
        <v>6001</v>
      </c>
      <c r="F7" s="52" t="s">
        <v>134</v>
      </c>
      <c r="G7" s="53" t="s">
        <v>347</v>
      </c>
      <c r="H7" s="52"/>
      <c r="I7" s="154" t="s">
        <v>1630</v>
      </c>
      <c r="J7" s="60" t="s">
        <v>1631</v>
      </c>
      <c r="K7" s="56" t="s">
        <v>1632</v>
      </c>
      <c r="L7" s="55"/>
      <c r="M7" s="56" t="s">
        <v>1633</v>
      </c>
      <c r="N7" s="57" t="s">
        <v>1634</v>
      </c>
      <c r="O7" s="78" t="s">
        <v>146</v>
      </c>
      <c r="P7" s="59" t="s">
        <v>146</v>
      </c>
      <c r="Q7" s="60" t="s">
        <v>1600</v>
      </c>
      <c r="R7" s="77" t="s">
        <v>1601</v>
      </c>
      <c r="S7" s="55">
        <v>60</v>
      </c>
      <c r="T7" s="55">
        <v>30</v>
      </c>
      <c r="U7" s="55">
        <v>0</v>
      </c>
      <c r="V7" s="55">
        <v>0</v>
      </c>
      <c r="W7" s="55">
        <v>0</v>
      </c>
      <c r="X7" s="55">
        <v>0</v>
      </c>
      <c r="Y7" s="55">
        <v>0</v>
      </c>
      <c r="Z7" s="55">
        <v>0</v>
      </c>
      <c r="AA7" s="55">
        <v>10</v>
      </c>
      <c r="AB7" s="53">
        <v>100</v>
      </c>
      <c r="AC7" s="52" t="s">
        <v>199</v>
      </c>
      <c r="AD7" s="55" t="s">
        <v>190</v>
      </c>
      <c r="AE7" s="55" t="s">
        <v>146</v>
      </c>
      <c r="AF7" s="55" t="s">
        <v>142</v>
      </c>
      <c r="AG7" s="55" t="s">
        <v>142</v>
      </c>
      <c r="AH7" s="55">
        <v>2</v>
      </c>
      <c r="AI7" s="55">
        <v>30</v>
      </c>
      <c r="AJ7" s="62">
        <v>60</v>
      </c>
      <c r="AK7" s="63">
        <v>46288</v>
      </c>
      <c r="AL7" s="64" t="str">
        <f>TEXT(Sheet_1_Table_1_136[[#This Row],[Lesson 1 
Date 
(DD-MMM-YYYY)]], "ddd")</f>
        <v>Wed</v>
      </c>
      <c r="AM7" s="65">
        <v>0.77083333333333337</v>
      </c>
      <c r="AN7" s="66">
        <v>0.85416666666666663</v>
      </c>
      <c r="AO7" s="67" t="s">
        <v>871</v>
      </c>
      <c r="AP7" s="68"/>
      <c r="AQ7" s="64">
        <v>7</v>
      </c>
      <c r="AR7" s="65"/>
      <c r="AS7" s="66"/>
      <c r="AT7" s="66"/>
      <c r="AU7" s="63"/>
      <c r="AV7" s="64">
        <v>7</v>
      </c>
      <c r="AW7" s="65"/>
      <c r="AX7" s="66"/>
      <c r="AY7" s="67"/>
      <c r="AZ7" s="68"/>
      <c r="BA7" s="64">
        <v>7</v>
      </c>
      <c r="BB7" s="65"/>
      <c r="BC7" s="66"/>
      <c r="BD7" s="66"/>
      <c r="BE7" s="63"/>
      <c r="BF7" s="64">
        <v>7</v>
      </c>
      <c r="BG7" s="65"/>
      <c r="BH7" s="66"/>
      <c r="BI7" s="67"/>
      <c r="BJ7" s="68"/>
      <c r="BK7" s="64">
        <v>7</v>
      </c>
      <c r="BL7" s="65"/>
      <c r="BM7" s="66"/>
      <c r="BN7" s="66"/>
      <c r="BO7" s="54" t="s">
        <v>163</v>
      </c>
      <c r="BP7" s="69" t="s">
        <v>872</v>
      </c>
      <c r="BQ7" s="55" t="s">
        <v>490</v>
      </c>
      <c r="BR7" s="57" t="s">
        <v>1635</v>
      </c>
      <c r="BS7" s="52"/>
      <c r="BT7" s="56"/>
      <c r="BU7" s="56"/>
      <c r="BV7" s="70"/>
      <c r="BW7" s="60"/>
      <c r="BX7" s="71"/>
      <c r="BY7" s="210"/>
      <c r="BZ7" s="56"/>
      <c r="CA7" s="56"/>
      <c r="CB7" s="72"/>
      <c r="CC7" s="72"/>
      <c r="CD7" s="71"/>
      <c r="CE7" s="60" t="s">
        <v>354</v>
      </c>
      <c r="CF7" s="71" t="s">
        <v>355</v>
      </c>
      <c r="CG7" s="56" t="s">
        <v>1636</v>
      </c>
      <c r="CH7" s="57" t="s">
        <v>407</v>
      </c>
      <c r="CI7" s="52" t="s">
        <v>146</v>
      </c>
      <c r="CJ7" s="52" t="s">
        <v>142</v>
      </c>
      <c r="CK7" s="52" t="s">
        <v>142</v>
      </c>
      <c r="CL7" s="52" t="s">
        <v>142</v>
      </c>
      <c r="CM7" s="52" t="s">
        <v>146</v>
      </c>
      <c r="CN7" s="52" t="s">
        <v>142</v>
      </c>
      <c r="CO7" s="52" t="s">
        <v>142</v>
      </c>
      <c r="CP7" s="52" t="s">
        <v>142</v>
      </c>
      <c r="CQ7" s="52" t="s">
        <v>142</v>
      </c>
      <c r="CR7" s="52" t="s">
        <v>146</v>
      </c>
      <c r="CS7" s="52" t="s">
        <v>142</v>
      </c>
      <c r="CT7" s="52" t="s">
        <v>142</v>
      </c>
      <c r="CU7" s="52" t="s">
        <v>142</v>
      </c>
      <c r="CV7" s="52" t="s">
        <v>142</v>
      </c>
      <c r="CW7" s="52" t="s">
        <v>142</v>
      </c>
      <c r="CX7" s="52" t="s">
        <v>142</v>
      </c>
      <c r="CY7" s="52" t="s">
        <v>142</v>
      </c>
      <c r="CZ7" s="59" t="s">
        <v>142</v>
      </c>
      <c r="DA7" s="74" t="s">
        <v>142</v>
      </c>
      <c r="DB7" s="75" t="s">
        <v>142</v>
      </c>
      <c r="DC7" s="50" t="s">
        <v>156</v>
      </c>
      <c r="DD7" s="50" t="s">
        <v>146</v>
      </c>
      <c r="DE7" s="50" t="s">
        <v>157</v>
      </c>
      <c r="DF7" s="50" t="s">
        <v>146</v>
      </c>
      <c r="DG7" s="73"/>
      <c r="DH7" s="73"/>
      <c r="DI7" s="74"/>
      <c r="DJ7" s="75"/>
      <c r="DK7" s="76" t="s">
        <v>146</v>
      </c>
      <c r="DL7" s="76" t="s">
        <v>146</v>
      </c>
      <c r="DM7" s="76" t="s">
        <v>146</v>
      </c>
      <c r="DN7" s="790"/>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1637</v>
      </c>
      <c r="D8" s="50" t="s">
        <v>251</v>
      </c>
      <c r="E8" s="51">
        <v>6002</v>
      </c>
      <c r="F8" s="52" t="s">
        <v>134</v>
      </c>
      <c r="G8" s="53" t="s">
        <v>347</v>
      </c>
      <c r="H8" s="52"/>
      <c r="I8" s="154" t="s">
        <v>1630</v>
      </c>
      <c r="J8" s="60" t="s">
        <v>1638</v>
      </c>
      <c r="K8" s="56" t="s">
        <v>1639</v>
      </c>
      <c r="L8" s="55"/>
      <c r="M8" s="56" t="s">
        <v>1640</v>
      </c>
      <c r="N8" s="57" t="s">
        <v>1641</v>
      </c>
      <c r="O8" s="78" t="s">
        <v>146</v>
      </c>
      <c r="P8" s="59" t="s">
        <v>146</v>
      </c>
      <c r="Q8" s="60" t="s">
        <v>1600</v>
      </c>
      <c r="R8" s="61" t="s">
        <v>1601</v>
      </c>
      <c r="S8" s="55">
        <v>0</v>
      </c>
      <c r="T8" s="55">
        <v>60</v>
      </c>
      <c r="U8" s="55">
        <v>0</v>
      </c>
      <c r="V8" s="55">
        <v>0</v>
      </c>
      <c r="W8" s="55">
        <v>0</v>
      </c>
      <c r="X8" s="55">
        <v>0</v>
      </c>
      <c r="Y8" s="55">
        <v>20</v>
      </c>
      <c r="Z8" s="55">
        <v>20</v>
      </c>
      <c r="AA8" s="55">
        <v>0</v>
      </c>
      <c r="AB8" s="53">
        <v>100</v>
      </c>
      <c r="AC8" s="52" t="s">
        <v>199</v>
      </c>
      <c r="AD8" s="55" t="s">
        <v>190</v>
      </c>
      <c r="AE8" s="55" t="s">
        <v>146</v>
      </c>
      <c r="AF8" s="55" t="s">
        <v>142</v>
      </c>
      <c r="AG8" s="55" t="s">
        <v>142</v>
      </c>
      <c r="AH8" s="55">
        <v>2</v>
      </c>
      <c r="AI8" s="55">
        <v>15</v>
      </c>
      <c r="AJ8" s="62">
        <v>30</v>
      </c>
      <c r="AK8" s="63">
        <v>46295</v>
      </c>
      <c r="AL8" s="64" t="str">
        <f>TEXT(Sheet_1_Table_1_136[[#This Row],[Lesson 1 
Date 
(DD-MMM-YYYY)]], "ddd")</f>
        <v>Wed</v>
      </c>
      <c r="AM8" s="65">
        <v>0.77083333333333337</v>
      </c>
      <c r="AN8" s="66">
        <v>0.85416666666666663</v>
      </c>
      <c r="AO8" s="67" t="s">
        <v>871</v>
      </c>
      <c r="AP8" s="68"/>
      <c r="AQ8" s="64">
        <v>7</v>
      </c>
      <c r="AR8" s="65"/>
      <c r="AS8" s="66"/>
      <c r="AT8" s="66"/>
      <c r="AU8" s="63"/>
      <c r="AV8" s="64">
        <v>7</v>
      </c>
      <c r="AW8" s="65"/>
      <c r="AX8" s="66"/>
      <c r="AY8" s="67"/>
      <c r="AZ8" s="68"/>
      <c r="BA8" s="64">
        <v>7</v>
      </c>
      <c r="BB8" s="65"/>
      <c r="BC8" s="66"/>
      <c r="BD8" s="66"/>
      <c r="BE8" s="63"/>
      <c r="BF8" s="64">
        <v>7</v>
      </c>
      <c r="BG8" s="65"/>
      <c r="BH8" s="66"/>
      <c r="BI8" s="67"/>
      <c r="BJ8" s="68"/>
      <c r="BK8" s="64">
        <v>7</v>
      </c>
      <c r="BL8" s="65"/>
      <c r="BM8" s="66"/>
      <c r="BN8" s="66"/>
      <c r="BO8" s="54"/>
      <c r="BP8" s="69"/>
      <c r="BQ8" s="55"/>
      <c r="BR8" s="57" t="s">
        <v>1642</v>
      </c>
      <c r="BS8" s="52"/>
      <c r="BT8" s="56"/>
      <c r="BU8" s="56"/>
      <c r="BV8" s="70"/>
      <c r="BW8" s="60"/>
      <c r="BX8" s="71"/>
      <c r="BY8" s="56"/>
      <c r="BZ8" s="56"/>
      <c r="CA8" s="56"/>
      <c r="CB8" s="72"/>
      <c r="CC8" s="72"/>
      <c r="CD8" s="71"/>
      <c r="CE8" s="60" t="s">
        <v>354</v>
      </c>
      <c r="CF8" s="71" t="s">
        <v>355</v>
      </c>
      <c r="CG8" s="56" t="s">
        <v>1636</v>
      </c>
      <c r="CH8" s="57" t="s">
        <v>407</v>
      </c>
      <c r="CI8" s="52" t="s">
        <v>146</v>
      </c>
      <c r="CJ8" s="52" t="s">
        <v>142</v>
      </c>
      <c r="CK8" s="52" t="s">
        <v>142</v>
      </c>
      <c r="CL8" s="52" t="s">
        <v>142</v>
      </c>
      <c r="CM8" s="52" t="s">
        <v>146</v>
      </c>
      <c r="CN8" s="52" t="s">
        <v>142</v>
      </c>
      <c r="CO8" s="52" t="s">
        <v>142</v>
      </c>
      <c r="CP8" s="52" t="s">
        <v>142</v>
      </c>
      <c r="CQ8" s="52" t="s">
        <v>146</v>
      </c>
      <c r="CR8" s="52" t="s">
        <v>146</v>
      </c>
      <c r="CS8" s="52" t="s">
        <v>142</v>
      </c>
      <c r="CT8" s="52" t="s">
        <v>142</v>
      </c>
      <c r="CU8" s="52" t="s">
        <v>142</v>
      </c>
      <c r="CV8" s="52" t="s">
        <v>142</v>
      </c>
      <c r="CW8" s="52" t="s">
        <v>142</v>
      </c>
      <c r="CX8" s="52" t="s">
        <v>142</v>
      </c>
      <c r="CY8" s="52" t="s">
        <v>142</v>
      </c>
      <c r="CZ8" s="59" t="s">
        <v>142</v>
      </c>
      <c r="DA8" s="74" t="s">
        <v>142</v>
      </c>
      <c r="DB8" s="75" t="s">
        <v>142</v>
      </c>
      <c r="DC8" s="50" t="s">
        <v>156</v>
      </c>
      <c r="DD8" s="50" t="s">
        <v>146</v>
      </c>
      <c r="DE8" s="50" t="s">
        <v>157</v>
      </c>
      <c r="DF8" s="50" t="s">
        <v>146</v>
      </c>
      <c r="DG8" s="73"/>
      <c r="DH8" s="73"/>
      <c r="DI8" s="74"/>
      <c r="DJ8" s="75"/>
      <c r="DK8" s="76" t="s">
        <v>146</v>
      </c>
      <c r="DL8" s="76" t="s">
        <v>146</v>
      </c>
      <c r="DM8" s="76" t="s">
        <v>146</v>
      </c>
      <c r="DN8" s="790"/>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7</v>
      </c>
      <c r="B9" s="49">
        <v>202609</v>
      </c>
      <c r="C9" s="79" t="s">
        <v>1643</v>
      </c>
      <c r="D9" s="79" t="s">
        <v>174</v>
      </c>
      <c r="E9" s="422">
        <v>6004</v>
      </c>
      <c r="F9" s="80" t="s">
        <v>134</v>
      </c>
      <c r="G9" s="81" t="s">
        <v>347</v>
      </c>
      <c r="H9" s="80"/>
      <c r="I9" s="423" t="s">
        <v>1630</v>
      </c>
      <c r="J9" s="86" t="s">
        <v>1644</v>
      </c>
      <c r="K9" s="424" t="s">
        <v>1645</v>
      </c>
      <c r="L9" s="83"/>
      <c r="M9" s="424" t="s">
        <v>1646</v>
      </c>
      <c r="N9" s="84" t="s">
        <v>1647</v>
      </c>
      <c r="O9" s="425" t="s">
        <v>146</v>
      </c>
      <c r="P9" s="85" t="s">
        <v>146</v>
      </c>
      <c r="Q9" s="86" t="s">
        <v>1600</v>
      </c>
      <c r="R9" s="426" t="s">
        <v>1601</v>
      </c>
      <c r="S9" s="83">
        <v>30</v>
      </c>
      <c r="T9" s="83">
        <v>10</v>
      </c>
      <c r="U9" s="83">
        <v>0</v>
      </c>
      <c r="V9" s="83">
        <v>0</v>
      </c>
      <c r="W9" s="83">
        <v>0</v>
      </c>
      <c r="X9" s="83">
        <v>0</v>
      </c>
      <c r="Y9" s="83">
        <v>60</v>
      </c>
      <c r="Z9" s="83">
        <v>0</v>
      </c>
      <c r="AA9" s="83">
        <v>0</v>
      </c>
      <c r="AB9" s="81">
        <v>100</v>
      </c>
      <c r="AC9" s="80" t="s">
        <v>199</v>
      </c>
      <c r="AD9" s="83" t="s">
        <v>190</v>
      </c>
      <c r="AE9" s="83" t="s">
        <v>146</v>
      </c>
      <c r="AF9" s="83" t="s">
        <v>142</v>
      </c>
      <c r="AG9" s="83" t="s">
        <v>142</v>
      </c>
      <c r="AH9" s="83">
        <v>2</v>
      </c>
      <c r="AI9" s="83">
        <v>40</v>
      </c>
      <c r="AJ9" s="427">
        <v>80</v>
      </c>
      <c r="AK9" s="428">
        <v>46303</v>
      </c>
      <c r="AL9" s="64" t="str">
        <f>TEXT(Sheet_1_Table_1_136[[#This Row],[Lesson 1 
Date 
(DD-MMM-YYYY)]], "ddd")</f>
        <v>Thu</v>
      </c>
      <c r="AM9" s="429">
        <v>0.75</v>
      </c>
      <c r="AN9" s="430">
        <v>0.83333333333333337</v>
      </c>
      <c r="AO9" s="431" t="s">
        <v>871</v>
      </c>
      <c r="AP9" s="432"/>
      <c r="AQ9" s="433">
        <v>7</v>
      </c>
      <c r="AR9" s="429"/>
      <c r="AS9" s="430"/>
      <c r="AT9" s="430"/>
      <c r="AU9" s="428"/>
      <c r="AV9" s="433">
        <v>7</v>
      </c>
      <c r="AW9" s="429"/>
      <c r="AX9" s="430"/>
      <c r="AY9" s="431"/>
      <c r="AZ9" s="432"/>
      <c r="BA9" s="433">
        <v>7</v>
      </c>
      <c r="BB9" s="429"/>
      <c r="BC9" s="430"/>
      <c r="BD9" s="430"/>
      <c r="BE9" s="428"/>
      <c r="BF9" s="433">
        <v>7</v>
      </c>
      <c r="BG9" s="429"/>
      <c r="BH9" s="430"/>
      <c r="BI9" s="431"/>
      <c r="BJ9" s="432"/>
      <c r="BK9" s="433">
        <v>7</v>
      </c>
      <c r="BL9" s="429"/>
      <c r="BM9" s="430"/>
      <c r="BN9" s="430"/>
      <c r="BO9" s="82" t="s">
        <v>163</v>
      </c>
      <c r="BP9" s="434" t="s">
        <v>1648</v>
      </c>
      <c r="BQ9" s="83" t="s">
        <v>1649</v>
      </c>
      <c r="BR9" s="84" t="s">
        <v>1650</v>
      </c>
      <c r="BS9" s="80" t="s">
        <v>293</v>
      </c>
      <c r="BT9" s="424" t="s">
        <v>1651</v>
      </c>
      <c r="BU9" s="424" t="s">
        <v>1652</v>
      </c>
      <c r="BV9" s="290" t="s">
        <v>1653</v>
      </c>
      <c r="BW9" s="86"/>
      <c r="BX9" s="435"/>
      <c r="BY9" s="424"/>
      <c r="BZ9" s="424"/>
      <c r="CA9" s="424"/>
      <c r="CB9" s="436"/>
      <c r="CC9" s="436"/>
      <c r="CD9" s="435"/>
      <c r="CE9" s="86" t="s">
        <v>354</v>
      </c>
      <c r="CF9" s="435" t="s">
        <v>355</v>
      </c>
      <c r="CG9" s="424" t="s">
        <v>1636</v>
      </c>
      <c r="CH9" s="84" t="s">
        <v>407</v>
      </c>
      <c r="CI9" s="80" t="s">
        <v>146</v>
      </c>
      <c r="CJ9" s="80" t="s">
        <v>146</v>
      </c>
      <c r="CK9" s="80" t="s">
        <v>146</v>
      </c>
      <c r="CL9" s="80" t="s">
        <v>146</v>
      </c>
      <c r="CM9" s="80" t="s">
        <v>146</v>
      </c>
      <c r="CN9" s="80" t="s">
        <v>146</v>
      </c>
      <c r="CO9" s="80" t="s">
        <v>146</v>
      </c>
      <c r="CP9" s="80" t="s">
        <v>146</v>
      </c>
      <c r="CQ9" s="80" t="s">
        <v>146</v>
      </c>
      <c r="CR9" s="80" t="s">
        <v>146</v>
      </c>
      <c r="CS9" s="80" t="s">
        <v>146</v>
      </c>
      <c r="CT9" s="80" t="s">
        <v>146</v>
      </c>
      <c r="CU9" s="80" t="s">
        <v>146</v>
      </c>
      <c r="CV9" s="80" t="s">
        <v>146</v>
      </c>
      <c r="CW9" s="80" t="s">
        <v>146</v>
      </c>
      <c r="CX9" s="80" t="s">
        <v>146</v>
      </c>
      <c r="CY9" s="80" t="s">
        <v>146</v>
      </c>
      <c r="CZ9" s="85" t="s">
        <v>146</v>
      </c>
      <c r="DA9" s="88" t="s">
        <v>142</v>
      </c>
      <c r="DB9" s="89" t="s">
        <v>142</v>
      </c>
      <c r="DC9" s="50" t="s">
        <v>156</v>
      </c>
      <c r="DD9" s="50" t="s">
        <v>146</v>
      </c>
      <c r="DE9" s="50" t="s">
        <v>157</v>
      </c>
      <c r="DF9" s="50" t="s">
        <v>146</v>
      </c>
      <c r="DG9" s="73"/>
      <c r="DH9" s="73"/>
      <c r="DI9" s="74"/>
      <c r="DJ9" s="75"/>
      <c r="DK9" s="76" t="s">
        <v>146</v>
      </c>
      <c r="DL9" s="76" t="s">
        <v>146</v>
      </c>
      <c r="DM9" s="76" t="s">
        <v>146</v>
      </c>
      <c r="DN9" s="790"/>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8</v>
      </c>
      <c r="B10" s="49">
        <v>202609</v>
      </c>
      <c r="C10" s="50" t="s">
        <v>1654</v>
      </c>
      <c r="D10" s="50" t="s">
        <v>174</v>
      </c>
      <c r="E10" s="51">
        <v>6007</v>
      </c>
      <c r="F10" s="52" t="s">
        <v>134</v>
      </c>
      <c r="G10" s="53" t="s">
        <v>347</v>
      </c>
      <c r="H10" s="52"/>
      <c r="I10" s="154" t="s">
        <v>1630</v>
      </c>
      <c r="J10" s="60" t="s">
        <v>1655</v>
      </c>
      <c r="K10" s="56" t="s">
        <v>1656</v>
      </c>
      <c r="L10" s="55"/>
      <c r="M10" s="56" t="s">
        <v>1657</v>
      </c>
      <c r="N10" s="57" t="s">
        <v>1658</v>
      </c>
      <c r="O10" s="78" t="s">
        <v>146</v>
      </c>
      <c r="P10" s="59" t="s">
        <v>146</v>
      </c>
      <c r="Q10" s="60" t="s">
        <v>1600</v>
      </c>
      <c r="R10" s="61" t="s">
        <v>1601</v>
      </c>
      <c r="S10" s="55">
        <v>0</v>
      </c>
      <c r="T10" s="55">
        <v>60</v>
      </c>
      <c r="U10" s="55">
        <v>0</v>
      </c>
      <c r="V10" s="55">
        <v>0</v>
      </c>
      <c r="W10" s="55">
        <v>0</v>
      </c>
      <c r="X10" s="55">
        <v>0</v>
      </c>
      <c r="Y10" s="55">
        <v>20</v>
      </c>
      <c r="Z10" s="55">
        <v>20</v>
      </c>
      <c r="AA10" s="55">
        <v>0</v>
      </c>
      <c r="AB10" s="53">
        <v>100</v>
      </c>
      <c r="AC10" s="52" t="s">
        <v>199</v>
      </c>
      <c r="AD10" s="55" t="s">
        <v>190</v>
      </c>
      <c r="AE10" s="55" t="s">
        <v>146</v>
      </c>
      <c r="AF10" s="55" t="s">
        <v>142</v>
      </c>
      <c r="AG10" s="55" t="s">
        <v>142</v>
      </c>
      <c r="AH10" s="55">
        <v>2</v>
      </c>
      <c r="AI10" s="55">
        <v>15</v>
      </c>
      <c r="AJ10" s="62">
        <v>30</v>
      </c>
      <c r="AK10" s="63">
        <v>46309</v>
      </c>
      <c r="AL10" s="64" t="str">
        <f>TEXT(Sheet_1_Table_1_136[[#This Row],[Lesson 1 
Date 
(DD-MMM-YYYY)]], "ddd")</f>
        <v>Wed</v>
      </c>
      <c r="AM10" s="65">
        <v>0.77083333333333337</v>
      </c>
      <c r="AN10" s="66">
        <v>0.85416666666666663</v>
      </c>
      <c r="AO10" s="67" t="s">
        <v>871</v>
      </c>
      <c r="AP10" s="68"/>
      <c r="AQ10" s="64">
        <v>7</v>
      </c>
      <c r="AR10" s="65"/>
      <c r="AS10" s="66"/>
      <c r="AT10" s="66"/>
      <c r="AU10" s="63"/>
      <c r="AV10" s="64">
        <v>7</v>
      </c>
      <c r="AW10" s="65"/>
      <c r="AX10" s="66"/>
      <c r="AY10" s="67"/>
      <c r="AZ10" s="68"/>
      <c r="BA10" s="64">
        <v>7</v>
      </c>
      <c r="BB10" s="65"/>
      <c r="BC10" s="66"/>
      <c r="BD10" s="66"/>
      <c r="BE10" s="63"/>
      <c r="BF10" s="64">
        <v>7</v>
      </c>
      <c r="BG10" s="65"/>
      <c r="BH10" s="66"/>
      <c r="BI10" s="67"/>
      <c r="BJ10" s="68"/>
      <c r="BK10" s="64">
        <v>7</v>
      </c>
      <c r="BL10" s="65"/>
      <c r="BM10" s="66"/>
      <c r="BN10" s="66"/>
      <c r="BO10" s="54"/>
      <c r="BP10" s="69"/>
      <c r="BQ10" s="55"/>
      <c r="BR10" s="57" t="s">
        <v>1642</v>
      </c>
      <c r="BS10" s="52"/>
      <c r="BT10" s="56"/>
      <c r="BU10" s="56"/>
      <c r="BV10" s="70"/>
      <c r="BW10" s="60"/>
      <c r="BX10" s="71"/>
      <c r="BY10" s="56"/>
      <c r="BZ10" s="56"/>
      <c r="CA10" s="56"/>
      <c r="CB10" s="72"/>
      <c r="CC10" s="72"/>
      <c r="CD10" s="71"/>
      <c r="CE10" s="60" t="s">
        <v>354</v>
      </c>
      <c r="CF10" s="71" t="s">
        <v>355</v>
      </c>
      <c r="CG10" s="56" t="s">
        <v>1636</v>
      </c>
      <c r="CH10" s="57" t="s">
        <v>407</v>
      </c>
      <c r="CI10" s="52" t="s">
        <v>146</v>
      </c>
      <c r="CJ10" s="52" t="s">
        <v>142</v>
      </c>
      <c r="CK10" s="52" t="s">
        <v>142</v>
      </c>
      <c r="CL10" s="52" t="s">
        <v>142</v>
      </c>
      <c r="CM10" s="52" t="s">
        <v>146</v>
      </c>
      <c r="CN10" s="52" t="s">
        <v>142</v>
      </c>
      <c r="CO10" s="52" t="s">
        <v>142</v>
      </c>
      <c r="CP10" s="52" t="s">
        <v>142</v>
      </c>
      <c r="CQ10" s="52" t="s">
        <v>146</v>
      </c>
      <c r="CR10" s="52" t="s">
        <v>146</v>
      </c>
      <c r="CS10" s="52" t="s">
        <v>142</v>
      </c>
      <c r="CT10" s="52" t="s">
        <v>142</v>
      </c>
      <c r="CU10" s="52" t="s">
        <v>142</v>
      </c>
      <c r="CV10" s="52" t="s">
        <v>142</v>
      </c>
      <c r="CW10" s="52" t="s">
        <v>142</v>
      </c>
      <c r="CX10" s="52" t="s">
        <v>142</v>
      </c>
      <c r="CY10" s="52" t="s">
        <v>142</v>
      </c>
      <c r="CZ10" s="59" t="s">
        <v>142</v>
      </c>
      <c r="DA10" s="74" t="s">
        <v>142</v>
      </c>
      <c r="DB10" s="75" t="s">
        <v>142</v>
      </c>
      <c r="DC10" s="50" t="s">
        <v>156</v>
      </c>
      <c r="DD10" s="50" t="s">
        <v>146</v>
      </c>
      <c r="DE10" s="50" t="s">
        <v>157</v>
      </c>
      <c r="DF10" s="50" t="s">
        <v>146</v>
      </c>
      <c r="DG10" s="73"/>
      <c r="DH10" s="73"/>
      <c r="DI10" s="74"/>
      <c r="DJ10" s="75"/>
      <c r="DK10" s="76" t="s">
        <v>146</v>
      </c>
      <c r="DL10" s="76" t="s">
        <v>146</v>
      </c>
      <c r="DM10" s="76" t="s">
        <v>146</v>
      </c>
      <c r="DN10" s="790"/>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9</v>
      </c>
      <c r="B11" s="49">
        <v>202609</v>
      </c>
      <c r="C11" s="50" t="s">
        <v>1659</v>
      </c>
      <c r="D11" s="50" t="s">
        <v>174</v>
      </c>
      <c r="E11" s="51">
        <v>6008</v>
      </c>
      <c r="F11" s="52" t="s">
        <v>134</v>
      </c>
      <c r="G11" s="53" t="s">
        <v>347</v>
      </c>
      <c r="H11" s="52" t="s">
        <v>1660</v>
      </c>
      <c r="I11" s="70" t="s">
        <v>1661</v>
      </c>
      <c r="J11" s="60" t="s">
        <v>1662</v>
      </c>
      <c r="K11" s="56" t="s">
        <v>1663</v>
      </c>
      <c r="L11" s="55"/>
      <c r="M11" s="56" t="s">
        <v>1664</v>
      </c>
      <c r="N11" s="57" t="s">
        <v>1665</v>
      </c>
      <c r="O11" s="114" t="s">
        <v>146</v>
      </c>
      <c r="P11" s="96" t="s">
        <v>146</v>
      </c>
      <c r="Q11" s="60" t="s">
        <v>1600</v>
      </c>
      <c r="R11" s="77" t="s">
        <v>1601</v>
      </c>
      <c r="S11" s="55">
        <v>0</v>
      </c>
      <c r="T11" s="55">
        <v>0</v>
      </c>
      <c r="U11" s="55">
        <v>0</v>
      </c>
      <c r="V11" s="55">
        <v>30</v>
      </c>
      <c r="W11" s="55">
        <v>0</v>
      </c>
      <c r="X11" s="55">
        <v>0</v>
      </c>
      <c r="Y11" s="55">
        <v>0</v>
      </c>
      <c r="Z11" s="55">
        <v>30</v>
      </c>
      <c r="AA11" s="55">
        <v>40</v>
      </c>
      <c r="AB11" s="53">
        <v>100</v>
      </c>
      <c r="AC11" s="97" t="s">
        <v>144</v>
      </c>
      <c r="AD11" s="55" t="s">
        <v>190</v>
      </c>
      <c r="AE11" s="55" t="s">
        <v>142</v>
      </c>
      <c r="AF11" s="55" t="s">
        <v>146</v>
      </c>
      <c r="AG11" s="55" t="s">
        <v>142</v>
      </c>
      <c r="AH11" s="55">
        <v>1</v>
      </c>
      <c r="AI11" s="55">
        <v>50</v>
      </c>
      <c r="AJ11" s="62">
        <v>50</v>
      </c>
      <c r="AK11" s="63">
        <v>46310</v>
      </c>
      <c r="AL11" s="64" t="str">
        <f>TEXT(Sheet_1_Table_1_136[[#This Row],[Lesson 1 
Date 
(DD-MMM-YYYY)]], "ddd")</f>
        <v>Thu</v>
      </c>
      <c r="AM11" s="65">
        <v>0.79166666666666663</v>
      </c>
      <c r="AN11" s="66">
        <v>0.83333333333333337</v>
      </c>
      <c r="AO11" s="67" t="s">
        <v>1438</v>
      </c>
      <c r="AP11" s="68"/>
      <c r="AQ11" s="64">
        <v>7</v>
      </c>
      <c r="AR11" s="65"/>
      <c r="AS11" s="66"/>
      <c r="AT11" s="126"/>
      <c r="AU11" s="63"/>
      <c r="AV11" s="64">
        <v>7</v>
      </c>
      <c r="AW11" s="65"/>
      <c r="AX11" s="66"/>
      <c r="AY11" s="126"/>
      <c r="AZ11" s="98"/>
      <c r="BA11" s="64">
        <v>7</v>
      </c>
      <c r="BB11" s="65"/>
      <c r="BC11" s="66"/>
      <c r="BD11" s="126"/>
      <c r="BE11" s="63"/>
      <c r="BF11" s="64">
        <v>7</v>
      </c>
      <c r="BG11" s="65"/>
      <c r="BH11" s="66"/>
      <c r="BI11" s="126"/>
      <c r="BJ11" s="98"/>
      <c r="BK11" s="64">
        <v>7</v>
      </c>
      <c r="BL11" s="65"/>
      <c r="BM11" s="66"/>
      <c r="BN11" s="99"/>
      <c r="BO11" s="54"/>
      <c r="BP11" s="69"/>
      <c r="BQ11" s="55"/>
      <c r="BR11" s="57" t="s">
        <v>1666</v>
      </c>
      <c r="BS11" s="54"/>
      <c r="BT11" s="56"/>
      <c r="BU11" s="56"/>
      <c r="BV11" s="57"/>
      <c r="BW11" s="60"/>
      <c r="BX11" s="187"/>
      <c r="BY11" s="56"/>
      <c r="BZ11" s="56"/>
      <c r="CA11" s="56"/>
      <c r="CB11" s="72"/>
      <c r="CC11" s="72"/>
      <c r="CD11" s="72"/>
      <c r="CE11" s="60" t="s">
        <v>404</v>
      </c>
      <c r="CF11" s="72" t="s">
        <v>405</v>
      </c>
      <c r="CG11" s="56" t="s">
        <v>406</v>
      </c>
      <c r="CH11" s="57" t="s">
        <v>407</v>
      </c>
      <c r="CI11" s="52" t="s">
        <v>146</v>
      </c>
      <c r="CJ11" s="52" t="s">
        <v>142</v>
      </c>
      <c r="CK11" s="52" t="s">
        <v>142</v>
      </c>
      <c r="CL11" s="52" t="s">
        <v>142</v>
      </c>
      <c r="CM11" s="52" t="s">
        <v>142</v>
      </c>
      <c r="CN11" s="52" t="s">
        <v>146</v>
      </c>
      <c r="CO11" s="52" t="s">
        <v>142</v>
      </c>
      <c r="CP11" s="52" t="s">
        <v>142</v>
      </c>
      <c r="CQ11" s="52" t="s">
        <v>146</v>
      </c>
      <c r="CR11" s="52" t="s">
        <v>146</v>
      </c>
      <c r="CS11" s="52" t="s">
        <v>142</v>
      </c>
      <c r="CT11" s="52" t="s">
        <v>142</v>
      </c>
      <c r="CU11" s="52" t="s">
        <v>142</v>
      </c>
      <c r="CV11" s="52" t="s">
        <v>142</v>
      </c>
      <c r="CW11" s="52" t="s">
        <v>142</v>
      </c>
      <c r="CX11" s="52" t="s">
        <v>142</v>
      </c>
      <c r="CY11" s="52" t="s">
        <v>142</v>
      </c>
      <c r="CZ11" s="59" t="s">
        <v>142</v>
      </c>
      <c r="DA11" s="74" t="s">
        <v>142</v>
      </c>
      <c r="DB11" s="75" t="s">
        <v>142</v>
      </c>
      <c r="DC11" s="50" t="s">
        <v>156</v>
      </c>
      <c r="DD11" s="50" t="s">
        <v>146</v>
      </c>
      <c r="DE11" s="50" t="s">
        <v>157</v>
      </c>
      <c r="DF11" s="50" t="s">
        <v>146</v>
      </c>
      <c r="DG11" s="73"/>
      <c r="DH11" s="73"/>
      <c r="DI11" s="74"/>
      <c r="DJ11" s="75"/>
      <c r="DK11" s="76" t="s">
        <v>146</v>
      </c>
      <c r="DL11" s="76" t="s">
        <v>146</v>
      </c>
      <c r="DM11" s="76" t="s">
        <v>146</v>
      </c>
      <c r="DN11" s="790"/>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1667</v>
      </c>
      <c r="D12" s="50" t="s">
        <v>174</v>
      </c>
      <c r="E12" s="51">
        <v>6009</v>
      </c>
      <c r="F12" s="52" t="s">
        <v>134</v>
      </c>
      <c r="G12" s="53" t="s">
        <v>347</v>
      </c>
      <c r="H12" s="52" t="s">
        <v>1660</v>
      </c>
      <c r="I12" s="70" t="s">
        <v>1661</v>
      </c>
      <c r="J12" s="60"/>
      <c r="K12" s="56" t="s">
        <v>1668</v>
      </c>
      <c r="L12" s="55"/>
      <c r="M12" s="56" t="s">
        <v>1669</v>
      </c>
      <c r="N12" s="57" t="s">
        <v>1670</v>
      </c>
      <c r="O12" s="114" t="s">
        <v>146</v>
      </c>
      <c r="P12" s="96" t="s">
        <v>146</v>
      </c>
      <c r="Q12" s="60" t="s">
        <v>1600</v>
      </c>
      <c r="R12" s="61" t="s">
        <v>1601</v>
      </c>
      <c r="S12" s="55">
        <v>0</v>
      </c>
      <c r="T12" s="55">
        <v>0</v>
      </c>
      <c r="U12" s="55">
        <v>50</v>
      </c>
      <c r="V12" s="55">
        <v>20</v>
      </c>
      <c r="W12" s="55">
        <v>0</v>
      </c>
      <c r="X12" s="55">
        <v>0</v>
      </c>
      <c r="Y12" s="55">
        <v>30</v>
      </c>
      <c r="Z12" s="55">
        <v>0</v>
      </c>
      <c r="AA12" s="55">
        <v>0</v>
      </c>
      <c r="AB12" s="53">
        <v>100</v>
      </c>
      <c r="AC12" s="97" t="s">
        <v>245</v>
      </c>
      <c r="AD12" s="55" t="s">
        <v>190</v>
      </c>
      <c r="AE12" s="55" t="s">
        <v>146</v>
      </c>
      <c r="AF12" s="55" t="s">
        <v>146</v>
      </c>
      <c r="AG12" s="55" t="s">
        <v>146</v>
      </c>
      <c r="AH12" s="55">
        <v>2</v>
      </c>
      <c r="AI12" s="55">
        <v>20</v>
      </c>
      <c r="AJ12" s="62">
        <v>40</v>
      </c>
      <c r="AK12" s="63">
        <v>46312</v>
      </c>
      <c r="AL12" s="64" t="str">
        <f>TEXT(Sheet_1_Table_1_136[[#This Row],[Lesson 1 
Date 
(DD-MMM-YYYY)]], "ddd")</f>
        <v>Sat</v>
      </c>
      <c r="AM12" s="65">
        <v>0.41666666666666669</v>
      </c>
      <c r="AN12" s="66">
        <v>0.5</v>
      </c>
      <c r="AO12" s="67" t="s">
        <v>1671</v>
      </c>
      <c r="AP12" s="68"/>
      <c r="AQ12" s="64">
        <v>7</v>
      </c>
      <c r="AR12" s="65"/>
      <c r="AS12" s="66"/>
      <c r="AT12" s="126"/>
      <c r="AU12" s="63"/>
      <c r="AV12" s="64">
        <v>7</v>
      </c>
      <c r="AW12" s="65"/>
      <c r="AX12" s="66"/>
      <c r="AY12" s="126"/>
      <c r="AZ12" s="98"/>
      <c r="BA12" s="64">
        <v>7</v>
      </c>
      <c r="BB12" s="65"/>
      <c r="BC12" s="66"/>
      <c r="BD12" s="126"/>
      <c r="BE12" s="63"/>
      <c r="BF12" s="64">
        <v>7</v>
      </c>
      <c r="BG12" s="65"/>
      <c r="BH12" s="66"/>
      <c r="BI12" s="126"/>
      <c r="BJ12" s="98"/>
      <c r="BK12" s="64">
        <v>7</v>
      </c>
      <c r="BL12" s="65"/>
      <c r="BM12" s="66"/>
      <c r="BN12" s="99"/>
      <c r="BO12" s="54" t="s">
        <v>1603</v>
      </c>
      <c r="BP12" s="69" t="s">
        <v>1672</v>
      </c>
      <c r="BQ12" s="55" t="s">
        <v>1214</v>
      </c>
      <c r="BR12" s="57" t="s">
        <v>1673</v>
      </c>
      <c r="BS12" s="54"/>
      <c r="BT12" s="56"/>
      <c r="BU12" s="56"/>
      <c r="BV12" s="57"/>
      <c r="BW12" s="60"/>
      <c r="BX12" s="187"/>
      <c r="BY12" s="437">
        <v>0.40625</v>
      </c>
      <c r="BZ12" s="56" t="s">
        <v>353</v>
      </c>
      <c r="CA12" s="56"/>
      <c r="CB12" s="72"/>
      <c r="CC12" s="72"/>
      <c r="CD12" s="72"/>
      <c r="CE12" s="60" t="s">
        <v>404</v>
      </c>
      <c r="CF12" s="72" t="s">
        <v>405</v>
      </c>
      <c r="CG12" s="56" t="s">
        <v>406</v>
      </c>
      <c r="CH12" s="57" t="s">
        <v>407</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146</v>
      </c>
      <c r="CW12" s="52" t="s">
        <v>142</v>
      </c>
      <c r="CX12" s="52" t="s">
        <v>142</v>
      </c>
      <c r="CY12" s="52" t="s">
        <v>142</v>
      </c>
      <c r="CZ12" s="59" t="s">
        <v>142</v>
      </c>
      <c r="DA12" s="74" t="s">
        <v>142</v>
      </c>
      <c r="DB12" s="75" t="s">
        <v>142</v>
      </c>
      <c r="DC12" s="50" t="s">
        <v>156</v>
      </c>
      <c r="DD12" s="50" t="s">
        <v>146</v>
      </c>
      <c r="DE12" s="50" t="s">
        <v>157</v>
      </c>
      <c r="DF12" s="50" t="s">
        <v>146</v>
      </c>
      <c r="DG12" s="73"/>
      <c r="DH12" s="73"/>
      <c r="DI12" s="74"/>
      <c r="DJ12" s="75"/>
      <c r="DK12" s="76" t="s">
        <v>146</v>
      </c>
      <c r="DL12" s="76" t="s">
        <v>146</v>
      </c>
      <c r="DM12" s="76" t="s">
        <v>146</v>
      </c>
      <c r="DN12" s="790"/>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1674</v>
      </c>
      <c r="D13" s="50" t="s">
        <v>174</v>
      </c>
      <c r="E13" s="51">
        <v>6010</v>
      </c>
      <c r="F13" s="52" t="s">
        <v>134</v>
      </c>
      <c r="G13" s="53" t="s">
        <v>347</v>
      </c>
      <c r="H13" s="52" t="s">
        <v>1660</v>
      </c>
      <c r="I13" s="70" t="s">
        <v>1661</v>
      </c>
      <c r="J13" s="60"/>
      <c r="K13" s="56" t="s">
        <v>1675</v>
      </c>
      <c r="L13" s="55"/>
      <c r="M13" s="56" t="s">
        <v>1676</v>
      </c>
      <c r="N13" s="57" t="s">
        <v>1670</v>
      </c>
      <c r="O13" s="114" t="s">
        <v>146</v>
      </c>
      <c r="P13" s="96" t="s">
        <v>146</v>
      </c>
      <c r="Q13" s="60" t="s">
        <v>1600</v>
      </c>
      <c r="R13" s="77" t="s">
        <v>1601</v>
      </c>
      <c r="S13" s="55">
        <v>0</v>
      </c>
      <c r="T13" s="55">
        <v>0</v>
      </c>
      <c r="U13" s="55">
        <v>50</v>
      </c>
      <c r="V13" s="55">
        <v>20</v>
      </c>
      <c r="W13" s="55">
        <v>0</v>
      </c>
      <c r="X13" s="55">
        <v>0</v>
      </c>
      <c r="Y13" s="55">
        <v>30</v>
      </c>
      <c r="Z13" s="55">
        <v>0</v>
      </c>
      <c r="AA13" s="55">
        <v>0</v>
      </c>
      <c r="AB13" s="53">
        <v>100</v>
      </c>
      <c r="AC13" s="97" t="s">
        <v>245</v>
      </c>
      <c r="AD13" s="55" t="s">
        <v>190</v>
      </c>
      <c r="AE13" s="55" t="s">
        <v>146</v>
      </c>
      <c r="AF13" s="55" t="s">
        <v>146</v>
      </c>
      <c r="AG13" s="55" t="s">
        <v>146</v>
      </c>
      <c r="AH13" s="55">
        <v>3</v>
      </c>
      <c r="AI13" s="55">
        <v>20</v>
      </c>
      <c r="AJ13" s="62">
        <v>60</v>
      </c>
      <c r="AK13" s="63">
        <v>46319</v>
      </c>
      <c r="AL13" s="64" t="str">
        <f>TEXT(Sheet_1_Table_1_136[[#This Row],[Lesson 1 
Date 
(DD-MMM-YYYY)]], "ddd")</f>
        <v>Sat</v>
      </c>
      <c r="AM13" s="65">
        <v>0.39583333333333331</v>
      </c>
      <c r="AN13" s="66">
        <v>0.52083333333333337</v>
      </c>
      <c r="AO13" s="67" t="s">
        <v>1671</v>
      </c>
      <c r="AP13" s="68"/>
      <c r="AQ13" s="64">
        <v>7</v>
      </c>
      <c r="AR13" s="65"/>
      <c r="AS13" s="66"/>
      <c r="AT13" s="126"/>
      <c r="AU13" s="63"/>
      <c r="AV13" s="64">
        <v>7</v>
      </c>
      <c r="AW13" s="65"/>
      <c r="AX13" s="66"/>
      <c r="AY13" s="126"/>
      <c r="AZ13" s="98"/>
      <c r="BA13" s="64">
        <v>7</v>
      </c>
      <c r="BB13" s="65"/>
      <c r="BC13" s="66"/>
      <c r="BD13" s="126"/>
      <c r="BE13" s="63"/>
      <c r="BF13" s="64">
        <v>7</v>
      </c>
      <c r="BG13" s="65"/>
      <c r="BH13" s="66"/>
      <c r="BI13" s="126"/>
      <c r="BJ13" s="98"/>
      <c r="BK13" s="64">
        <v>7</v>
      </c>
      <c r="BL13" s="65"/>
      <c r="BM13" s="66"/>
      <c r="BN13" s="99"/>
      <c r="BO13" s="54" t="s">
        <v>1603</v>
      </c>
      <c r="BP13" s="69" t="s">
        <v>1672</v>
      </c>
      <c r="BQ13" s="55" t="s">
        <v>1214</v>
      </c>
      <c r="BR13" s="57" t="s">
        <v>1673</v>
      </c>
      <c r="BS13" s="54"/>
      <c r="BT13" s="56"/>
      <c r="BU13" s="56"/>
      <c r="BV13" s="57"/>
      <c r="BW13" s="60"/>
      <c r="BX13" s="187"/>
      <c r="BY13" s="437">
        <v>0.40625</v>
      </c>
      <c r="BZ13" s="56" t="s">
        <v>353</v>
      </c>
      <c r="CA13" s="56"/>
      <c r="CB13" s="72"/>
      <c r="CC13" s="72"/>
      <c r="CD13" s="72"/>
      <c r="CE13" s="60" t="s">
        <v>404</v>
      </c>
      <c r="CF13" s="72" t="s">
        <v>405</v>
      </c>
      <c r="CG13" s="56" t="s">
        <v>406</v>
      </c>
      <c r="CH13" s="57" t="s">
        <v>407</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146</v>
      </c>
      <c r="CW13" s="52" t="s">
        <v>142</v>
      </c>
      <c r="CX13" s="52" t="s">
        <v>142</v>
      </c>
      <c r="CY13" s="52" t="s">
        <v>142</v>
      </c>
      <c r="CZ13" s="59" t="s">
        <v>142</v>
      </c>
      <c r="DA13" s="74" t="s">
        <v>142</v>
      </c>
      <c r="DB13" s="75" t="s">
        <v>142</v>
      </c>
      <c r="DC13" s="50" t="s">
        <v>156</v>
      </c>
      <c r="DD13" s="50" t="s">
        <v>146</v>
      </c>
      <c r="DE13" s="50" t="s">
        <v>157</v>
      </c>
      <c r="DF13" s="50" t="s">
        <v>146</v>
      </c>
      <c r="DG13" s="73"/>
      <c r="DH13" s="73"/>
      <c r="DI13" s="74"/>
      <c r="DJ13" s="75"/>
      <c r="DK13" s="76" t="s">
        <v>146</v>
      </c>
      <c r="DL13" s="76" t="s">
        <v>146</v>
      </c>
      <c r="DM13" s="76" t="s">
        <v>146</v>
      </c>
      <c r="DN13" s="790"/>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1677</v>
      </c>
      <c r="D14" s="50" t="s">
        <v>174</v>
      </c>
      <c r="E14" s="51">
        <v>6014</v>
      </c>
      <c r="F14" s="52" t="s">
        <v>134</v>
      </c>
      <c r="G14" s="53" t="s">
        <v>347</v>
      </c>
      <c r="H14" s="97"/>
      <c r="I14" s="136" t="s">
        <v>1630</v>
      </c>
      <c r="J14" s="60" t="s">
        <v>1678</v>
      </c>
      <c r="K14" s="56" t="s">
        <v>1679</v>
      </c>
      <c r="L14" s="55"/>
      <c r="M14" s="56" t="s">
        <v>1680</v>
      </c>
      <c r="N14" s="57" t="s">
        <v>1681</v>
      </c>
      <c r="O14" s="114" t="s">
        <v>146</v>
      </c>
      <c r="P14" s="96" t="s">
        <v>146</v>
      </c>
      <c r="Q14" s="60" t="s">
        <v>1600</v>
      </c>
      <c r="R14" s="61" t="s">
        <v>1601</v>
      </c>
      <c r="S14" s="55">
        <v>0</v>
      </c>
      <c r="T14" s="55">
        <v>60</v>
      </c>
      <c r="U14" s="55">
        <v>0</v>
      </c>
      <c r="V14" s="55">
        <v>0</v>
      </c>
      <c r="W14" s="55">
        <v>0</v>
      </c>
      <c r="X14" s="55">
        <v>0</v>
      </c>
      <c r="Y14" s="55">
        <v>20</v>
      </c>
      <c r="Z14" s="55">
        <v>20</v>
      </c>
      <c r="AA14" s="55">
        <v>0</v>
      </c>
      <c r="AB14" s="53">
        <v>100</v>
      </c>
      <c r="AC14" s="97" t="s">
        <v>199</v>
      </c>
      <c r="AD14" s="55" t="s">
        <v>190</v>
      </c>
      <c r="AE14" s="55" t="s">
        <v>146</v>
      </c>
      <c r="AF14" s="55" t="s">
        <v>142</v>
      </c>
      <c r="AG14" s="55" t="s">
        <v>142</v>
      </c>
      <c r="AH14" s="55">
        <v>2</v>
      </c>
      <c r="AI14" s="55">
        <v>15</v>
      </c>
      <c r="AJ14" s="62">
        <v>30</v>
      </c>
      <c r="AK14" s="63">
        <v>46323</v>
      </c>
      <c r="AL14" s="64" t="str">
        <f>TEXT(Sheet_1_Table_1_136[[#This Row],[Lesson 1 
Date 
(DD-MMM-YYYY)]], "ddd")</f>
        <v>Wed</v>
      </c>
      <c r="AM14" s="65">
        <v>0.72916666666666663</v>
      </c>
      <c r="AN14" s="66">
        <v>0.8125</v>
      </c>
      <c r="AO14" s="67" t="s">
        <v>1682</v>
      </c>
      <c r="AP14" s="68"/>
      <c r="AQ14" s="64">
        <v>7</v>
      </c>
      <c r="AR14" s="65"/>
      <c r="AS14" s="66"/>
      <c r="AT14" s="126"/>
      <c r="AU14" s="63"/>
      <c r="AV14" s="64">
        <v>7</v>
      </c>
      <c r="AW14" s="65"/>
      <c r="AX14" s="66"/>
      <c r="AY14" s="126"/>
      <c r="AZ14" s="98"/>
      <c r="BA14" s="64">
        <v>7</v>
      </c>
      <c r="BB14" s="65"/>
      <c r="BC14" s="66"/>
      <c r="BD14" s="126"/>
      <c r="BE14" s="63"/>
      <c r="BF14" s="64">
        <v>7</v>
      </c>
      <c r="BG14" s="65"/>
      <c r="BH14" s="66"/>
      <c r="BI14" s="126"/>
      <c r="BJ14" s="98"/>
      <c r="BK14" s="64">
        <v>7</v>
      </c>
      <c r="BL14" s="65"/>
      <c r="BM14" s="66"/>
      <c r="BN14" s="99"/>
      <c r="BO14" s="54"/>
      <c r="BP14" s="69"/>
      <c r="BQ14" s="55"/>
      <c r="BR14" s="57" t="s">
        <v>1642</v>
      </c>
      <c r="BS14" s="54"/>
      <c r="BT14" s="56"/>
      <c r="BU14" s="56"/>
      <c r="BV14" s="57"/>
      <c r="BW14" s="60"/>
      <c r="BX14" s="187"/>
      <c r="BY14" s="56"/>
      <c r="BZ14" s="56"/>
      <c r="CA14" s="56"/>
      <c r="CB14" s="72"/>
      <c r="CC14" s="72"/>
      <c r="CD14" s="72"/>
      <c r="CE14" s="60" t="s">
        <v>354</v>
      </c>
      <c r="CF14" s="72" t="s">
        <v>355</v>
      </c>
      <c r="CG14" s="56" t="s">
        <v>1636</v>
      </c>
      <c r="CH14" s="57" t="s">
        <v>407</v>
      </c>
      <c r="CI14" s="52" t="s">
        <v>146</v>
      </c>
      <c r="CJ14" s="52" t="s">
        <v>142</v>
      </c>
      <c r="CK14" s="52" t="s">
        <v>142</v>
      </c>
      <c r="CL14" s="52" t="s">
        <v>142</v>
      </c>
      <c r="CM14" s="52" t="s">
        <v>146</v>
      </c>
      <c r="CN14" s="52" t="s">
        <v>142</v>
      </c>
      <c r="CO14" s="52" t="s">
        <v>142</v>
      </c>
      <c r="CP14" s="52" t="s">
        <v>142</v>
      </c>
      <c r="CQ14" s="52" t="s">
        <v>146</v>
      </c>
      <c r="CR14" s="52" t="s">
        <v>146</v>
      </c>
      <c r="CS14" s="52" t="s">
        <v>142</v>
      </c>
      <c r="CT14" s="52" t="s">
        <v>142</v>
      </c>
      <c r="CU14" s="52" t="s">
        <v>142</v>
      </c>
      <c r="CV14" s="52" t="s">
        <v>142</v>
      </c>
      <c r="CW14" s="52" t="s">
        <v>142</v>
      </c>
      <c r="CX14" s="52" t="s">
        <v>142</v>
      </c>
      <c r="CY14" s="52" t="s">
        <v>142</v>
      </c>
      <c r="CZ14" s="59" t="s">
        <v>142</v>
      </c>
      <c r="DA14" s="74" t="s">
        <v>142</v>
      </c>
      <c r="DB14" s="75" t="s">
        <v>142</v>
      </c>
      <c r="DC14" s="50" t="s">
        <v>156</v>
      </c>
      <c r="DD14" s="50" t="s">
        <v>146</v>
      </c>
      <c r="DE14" s="50" t="s">
        <v>157</v>
      </c>
      <c r="DF14" s="50" t="s">
        <v>146</v>
      </c>
      <c r="DG14" s="73"/>
      <c r="DH14" s="73"/>
      <c r="DI14" s="74"/>
      <c r="DJ14" s="75"/>
      <c r="DK14" s="76" t="s">
        <v>146</v>
      </c>
      <c r="DL14" s="76" t="s">
        <v>146</v>
      </c>
      <c r="DM14" s="76" t="s">
        <v>146</v>
      </c>
      <c r="DN14" s="790"/>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13</v>
      </c>
      <c r="B15" s="49">
        <v>202609</v>
      </c>
      <c r="C15" s="50" t="s">
        <v>1683</v>
      </c>
      <c r="D15" s="50" t="s">
        <v>205</v>
      </c>
      <c r="E15" s="51">
        <v>6011</v>
      </c>
      <c r="F15" s="52" t="s">
        <v>134</v>
      </c>
      <c r="G15" s="53" t="s">
        <v>347</v>
      </c>
      <c r="H15" s="52" t="s">
        <v>1660</v>
      </c>
      <c r="I15" s="70" t="s">
        <v>1661</v>
      </c>
      <c r="J15" s="60" t="s">
        <v>1684</v>
      </c>
      <c r="K15" s="56" t="s">
        <v>1685</v>
      </c>
      <c r="L15" s="55"/>
      <c r="M15" s="56" t="s">
        <v>1686</v>
      </c>
      <c r="N15" s="57" t="s">
        <v>1687</v>
      </c>
      <c r="O15" s="114" t="s">
        <v>146</v>
      </c>
      <c r="P15" s="96" t="s">
        <v>146</v>
      </c>
      <c r="Q15" s="60" t="s">
        <v>1600</v>
      </c>
      <c r="R15" s="61" t="s">
        <v>1601</v>
      </c>
      <c r="S15" s="55">
        <v>0</v>
      </c>
      <c r="T15" s="55">
        <v>0</v>
      </c>
      <c r="U15" s="55">
        <v>0</v>
      </c>
      <c r="V15" s="55">
        <v>30</v>
      </c>
      <c r="W15" s="55">
        <v>0</v>
      </c>
      <c r="X15" s="55">
        <v>0</v>
      </c>
      <c r="Y15" s="55">
        <v>70</v>
      </c>
      <c r="Z15" s="55">
        <v>0</v>
      </c>
      <c r="AA15" s="55">
        <v>0</v>
      </c>
      <c r="AB15" s="53">
        <v>100</v>
      </c>
      <c r="AC15" s="97" t="s">
        <v>245</v>
      </c>
      <c r="AD15" s="55" t="s">
        <v>190</v>
      </c>
      <c r="AE15" s="55" t="s">
        <v>146</v>
      </c>
      <c r="AF15" s="55" t="s">
        <v>146</v>
      </c>
      <c r="AG15" s="55" t="s">
        <v>142</v>
      </c>
      <c r="AH15" s="55">
        <v>2</v>
      </c>
      <c r="AI15" s="55">
        <v>30</v>
      </c>
      <c r="AJ15" s="62">
        <v>60</v>
      </c>
      <c r="AK15" s="63">
        <v>46328</v>
      </c>
      <c r="AL15" s="64" t="str">
        <f>TEXT(Sheet_1_Table_1_136[[#This Row],[Lesson 1 
Date 
(DD-MMM-YYYY)]], "ddd")</f>
        <v>Mon</v>
      </c>
      <c r="AM15" s="65">
        <v>0.79166666666666663</v>
      </c>
      <c r="AN15" s="66">
        <v>0.875</v>
      </c>
      <c r="AO15" s="67" t="s">
        <v>1688</v>
      </c>
      <c r="AP15" s="68"/>
      <c r="AQ15" s="64">
        <v>7</v>
      </c>
      <c r="AR15" s="65"/>
      <c r="AS15" s="66"/>
      <c r="AT15" s="126"/>
      <c r="AU15" s="63"/>
      <c r="AV15" s="64">
        <v>7</v>
      </c>
      <c r="AW15" s="65"/>
      <c r="AX15" s="66"/>
      <c r="AY15" s="126"/>
      <c r="AZ15" s="98"/>
      <c r="BA15" s="64">
        <v>7</v>
      </c>
      <c r="BB15" s="65"/>
      <c r="BC15" s="66"/>
      <c r="BD15" s="126"/>
      <c r="BE15" s="63"/>
      <c r="BF15" s="64">
        <v>7</v>
      </c>
      <c r="BG15" s="65"/>
      <c r="BH15" s="66"/>
      <c r="BI15" s="126"/>
      <c r="BJ15" s="98"/>
      <c r="BK15" s="64">
        <v>7</v>
      </c>
      <c r="BL15" s="65"/>
      <c r="BM15" s="66"/>
      <c r="BN15" s="99"/>
      <c r="BO15" s="54" t="s">
        <v>293</v>
      </c>
      <c r="BP15" s="69" t="s">
        <v>1689</v>
      </c>
      <c r="BQ15" s="55" t="s">
        <v>1690</v>
      </c>
      <c r="BR15" s="57" t="s">
        <v>1691</v>
      </c>
      <c r="BS15" s="54"/>
      <c r="BT15" s="56"/>
      <c r="BU15" s="56"/>
      <c r="BV15" s="57"/>
      <c r="BW15" s="60"/>
      <c r="BX15" s="187"/>
      <c r="BY15" s="56"/>
      <c r="BZ15" s="56"/>
      <c r="CA15" s="56"/>
      <c r="CB15" s="72"/>
      <c r="CC15" s="72"/>
      <c r="CD15" s="72"/>
      <c r="CE15" s="60" t="s">
        <v>404</v>
      </c>
      <c r="CF15" s="72" t="s">
        <v>405</v>
      </c>
      <c r="CG15" s="56" t="s">
        <v>406</v>
      </c>
      <c r="CH15" s="57" t="s">
        <v>407</v>
      </c>
      <c r="CI15" s="52" t="s">
        <v>146</v>
      </c>
      <c r="CJ15" s="52" t="s">
        <v>142</v>
      </c>
      <c r="CK15" s="52" t="s">
        <v>142</v>
      </c>
      <c r="CL15" s="52" t="s">
        <v>142</v>
      </c>
      <c r="CM15" s="52" t="s">
        <v>142</v>
      </c>
      <c r="CN15" s="52" t="s">
        <v>142</v>
      </c>
      <c r="CO15" s="52" t="s">
        <v>142</v>
      </c>
      <c r="CP15" s="52" t="s">
        <v>142</v>
      </c>
      <c r="CQ15" s="52" t="s">
        <v>142</v>
      </c>
      <c r="CR15" s="52" t="s">
        <v>142</v>
      </c>
      <c r="CS15" s="52" t="s">
        <v>142</v>
      </c>
      <c r="CT15" s="52" t="s">
        <v>146</v>
      </c>
      <c r="CU15" s="52" t="s">
        <v>142</v>
      </c>
      <c r="CV15" s="52" t="s">
        <v>146</v>
      </c>
      <c r="CW15" s="52" t="s">
        <v>142</v>
      </c>
      <c r="CX15" s="52" t="s">
        <v>142</v>
      </c>
      <c r="CY15" s="52" t="s">
        <v>142</v>
      </c>
      <c r="CZ15" s="59" t="s">
        <v>142</v>
      </c>
      <c r="DA15" s="74" t="s">
        <v>142</v>
      </c>
      <c r="DB15" s="75" t="s">
        <v>142</v>
      </c>
      <c r="DC15" s="50" t="s">
        <v>156</v>
      </c>
      <c r="DD15" s="50" t="s">
        <v>146</v>
      </c>
      <c r="DE15" s="50" t="s">
        <v>157</v>
      </c>
      <c r="DF15" s="50" t="s">
        <v>146</v>
      </c>
      <c r="DG15" s="73"/>
      <c r="DH15" s="73"/>
      <c r="DI15" s="74"/>
      <c r="DJ15" s="75"/>
      <c r="DK15" s="76" t="s">
        <v>146</v>
      </c>
      <c r="DL15" s="76" t="s">
        <v>146</v>
      </c>
      <c r="DM15" s="76" t="s">
        <v>146</v>
      </c>
      <c r="DN15" s="790"/>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14</v>
      </c>
      <c r="B16" s="49">
        <v>202609</v>
      </c>
      <c r="C16" s="79" t="s">
        <v>1692</v>
      </c>
      <c r="D16" s="79" t="s">
        <v>205</v>
      </c>
      <c r="E16" s="422">
        <v>6017</v>
      </c>
      <c r="F16" s="80" t="s">
        <v>134</v>
      </c>
      <c r="G16" s="81" t="s">
        <v>347</v>
      </c>
      <c r="H16" s="95" t="s">
        <v>1693</v>
      </c>
      <c r="I16" s="438" t="s">
        <v>1694</v>
      </c>
      <c r="J16" s="86" t="s">
        <v>1695</v>
      </c>
      <c r="K16" s="424" t="s">
        <v>1696</v>
      </c>
      <c r="L16" s="83"/>
      <c r="M16" s="424" t="s">
        <v>1697</v>
      </c>
      <c r="N16" s="84" t="s">
        <v>1698</v>
      </c>
      <c r="O16" s="439" t="s">
        <v>146</v>
      </c>
      <c r="P16" s="440" t="s">
        <v>146</v>
      </c>
      <c r="Q16" s="86" t="s">
        <v>1600</v>
      </c>
      <c r="R16" s="441" t="s">
        <v>1601</v>
      </c>
      <c r="S16" s="83">
        <v>0</v>
      </c>
      <c r="T16" s="83">
        <v>0</v>
      </c>
      <c r="U16" s="83">
        <v>0</v>
      </c>
      <c r="V16" s="83">
        <v>0</v>
      </c>
      <c r="W16" s="83">
        <v>0</v>
      </c>
      <c r="X16" s="83">
        <v>0</v>
      </c>
      <c r="Y16" s="83">
        <v>100</v>
      </c>
      <c r="Z16" s="83">
        <v>0</v>
      </c>
      <c r="AA16" s="83">
        <v>0</v>
      </c>
      <c r="AB16" s="81">
        <v>100</v>
      </c>
      <c r="AC16" s="95" t="s">
        <v>199</v>
      </c>
      <c r="AD16" s="83" t="s">
        <v>190</v>
      </c>
      <c r="AE16" s="83" t="s">
        <v>142</v>
      </c>
      <c r="AF16" s="83" t="s">
        <v>146</v>
      </c>
      <c r="AG16" s="83" t="s">
        <v>142</v>
      </c>
      <c r="AH16" s="83">
        <v>1.5</v>
      </c>
      <c r="AI16" s="83">
        <v>20</v>
      </c>
      <c r="AJ16" s="427">
        <v>30</v>
      </c>
      <c r="AK16" s="428">
        <v>46344</v>
      </c>
      <c r="AL16" s="64" t="str">
        <f>TEXT(Sheet_1_Table_1_136[[#This Row],[Lesson 1 
Date 
(DD-MMM-YYYY)]], "ddd")</f>
        <v>Wed</v>
      </c>
      <c r="AM16" s="429">
        <v>0.72916666666666663</v>
      </c>
      <c r="AN16" s="430">
        <v>0.79166666666666663</v>
      </c>
      <c r="AO16" s="431" t="s">
        <v>147</v>
      </c>
      <c r="AP16" s="432"/>
      <c r="AQ16" s="433">
        <v>7</v>
      </c>
      <c r="AR16" s="429"/>
      <c r="AS16" s="430"/>
      <c r="AT16" s="442"/>
      <c r="AU16" s="428"/>
      <c r="AV16" s="433">
        <v>7</v>
      </c>
      <c r="AW16" s="429"/>
      <c r="AX16" s="430"/>
      <c r="AY16" s="442"/>
      <c r="AZ16" s="443"/>
      <c r="BA16" s="433">
        <v>7</v>
      </c>
      <c r="BB16" s="429"/>
      <c r="BC16" s="430"/>
      <c r="BD16" s="442"/>
      <c r="BE16" s="428"/>
      <c r="BF16" s="433">
        <v>7</v>
      </c>
      <c r="BG16" s="429"/>
      <c r="BH16" s="430"/>
      <c r="BI16" s="442"/>
      <c r="BJ16" s="443"/>
      <c r="BK16" s="433">
        <v>7</v>
      </c>
      <c r="BL16" s="429"/>
      <c r="BM16" s="430"/>
      <c r="BN16" s="444"/>
      <c r="BO16" s="82"/>
      <c r="BP16" s="434"/>
      <c r="BQ16" s="83"/>
      <c r="BR16" s="84" t="s">
        <v>1699</v>
      </c>
      <c r="BS16" s="82"/>
      <c r="BT16" s="424"/>
      <c r="BU16" s="424"/>
      <c r="BV16" s="84"/>
      <c r="BW16" s="86"/>
      <c r="BX16" s="445"/>
      <c r="BY16" s="424"/>
      <c r="BZ16" s="424"/>
      <c r="CA16" s="424"/>
      <c r="CB16" s="436"/>
      <c r="CC16" s="436"/>
      <c r="CD16" s="436"/>
      <c r="CE16" s="86" t="s">
        <v>354</v>
      </c>
      <c r="CF16" s="436" t="s">
        <v>355</v>
      </c>
      <c r="CG16" s="424" t="s">
        <v>1636</v>
      </c>
      <c r="CH16" s="84" t="s">
        <v>407</v>
      </c>
      <c r="CI16" s="80" t="s">
        <v>146</v>
      </c>
      <c r="CJ16" s="80" t="s">
        <v>142</v>
      </c>
      <c r="CK16" s="80" t="s">
        <v>146</v>
      </c>
      <c r="CL16" s="80" t="s">
        <v>146</v>
      </c>
      <c r="CM16" s="80" t="s">
        <v>142</v>
      </c>
      <c r="CN16" s="80" t="s">
        <v>142</v>
      </c>
      <c r="CO16" s="80" t="s">
        <v>142</v>
      </c>
      <c r="CP16" s="80" t="s">
        <v>142</v>
      </c>
      <c r="CQ16" s="80" t="s">
        <v>142</v>
      </c>
      <c r="CR16" s="80" t="s">
        <v>142</v>
      </c>
      <c r="CS16" s="80" t="s">
        <v>142</v>
      </c>
      <c r="CT16" s="80" t="s">
        <v>146</v>
      </c>
      <c r="CU16" s="80" t="s">
        <v>146</v>
      </c>
      <c r="CV16" s="80" t="s">
        <v>142</v>
      </c>
      <c r="CW16" s="80" t="s">
        <v>142</v>
      </c>
      <c r="CX16" s="80" t="s">
        <v>146</v>
      </c>
      <c r="CY16" s="80" t="s">
        <v>142</v>
      </c>
      <c r="CZ16" s="85" t="s">
        <v>142</v>
      </c>
      <c r="DA16" s="88" t="s">
        <v>142</v>
      </c>
      <c r="DB16" s="89" t="s">
        <v>142</v>
      </c>
      <c r="DC16" s="50" t="s">
        <v>156</v>
      </c>
      <c r="DD16" s="50" t="s">
        <v>146</v>
      </c>
      <c r="DE16" s="50" t="s">
        <v>157</v>
      </c>
      <c r="DF16" s="50" t="s">
        <v>146</v>
      </c>
      <c r="DG16" s="73"/>
      <c r="DH16" s="73"/>
      <c r="DI16" s="74"/>
      <c r="DJ16" s="75"/>
      <c r="DK16" s="76" t="s">
        <v>146</v>
      </c>
      <c r="DL16" s="76" t="s">
        <v>146</v>
      </c>
      <c r="DM16" s="76" t="s">
        <v>146</v>
      </c>
      <c r="DN16" s="790"/>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15</v>
      </c>
      <c r="B17" s="49">
        <v>202609</v>
      </c>
      <c r="C17" s="50" t="s">
        <v>1700</v>
      </c>
      <c r="D17" s="79" t="s">
        <v>205</v>
      </c>
      <c r="E17" s="51">
        <v>6018</v>
      </c>
      <c r="F17" s="52" t="s">
        <v>134</v>
      </c>
      <c r="G17" s="53" t="s">
        <v>347</v>
      </c>
      <c r="H17" s="97"/>
      <c r="I17" s="137" t="s">
        <v>1630</v>
      </c>
      <c r="J17" s="60" t="s">
        <v>1701</v>
      </c>
      <c r="K17" s="56" t="s">
        <v>1702</v>
      </c>
      <c r="L17" s="55"/>
      <c r="M17" s="56" t="s">
        <v>1703</v>
      </c>
      <c r="N17" s="57" t="s">
        <v>1704</v>
      </c>
      <c r="O17" s="114" t="s">
        <v>146</v>
      </c>
      <c r="P17" s="96" t="s">
        <v>146</v>
      </c>
      <c r="Q17" s="60" t="s">
        <v>1600</v>
      </c>
      <c r="R17" s="77" t="s">
        <v>1601</v>
      </c>
      <c r="S17" s="55">
        <v>20</v>
      </c>
      <c r="T17" s="55">
        <v>50</v>
      </c>
      <c r="U17" s="55">
        <v>0</v>
      </c>
      <c r="V17" s="55">
        <v>0</v>
      </c>
      <c r="W17" s="55">
        <v>0</v>
      </c>
      <c r="X17" s="55">
        <v>0</v>
      </c>
      <c r="Y17" s="55">
        <v>20</v>
      </c>
      <c r="Z17" s="55">
        <v>0</v>
      </c>
      <c r="AA17" s="55">
        <v>10</v>
      </c>
      <c r="AB17" s="53">
        <v>100</v>
      </c>
      <c r="AC17" s="97" t="s">
        <v>245</v>
      </c>
      <c r="AD17" s="55" t="s">
        <v>190</v>
      </c>
      <c r="AE17" s="55" t="s">
        <v>146</v>
      </c>
      <c r="AF17" s="55" t="s">
        <v>142</v>
      </c>
      <c r="AG17" s="55" t="s">
        <v>142</v>
      </c>
      <c r="AH17" s="55">
        <v>2.5</v>
      </c>
      <c r="AI17" s="55">
        <v>40</v>
      </c>
      <c r="AJ17" s="62">
        <v>100</v>
      </c>
      <c r="AK17" s="63">
        <v>46349</v>
      </c>
      <c r="AL17" s="64" t="str">
        <f>TEXT(Sheet_1_Table_1_136[[#This Row],[Lesson 1 
Date 
(DD-MMM-YYYY)]], "ddd")</f>
        <v>Mon</v>
      </c>
      <c r="AM17" s="65">
        <v>0.72916666666666663</v>
      </c>
      <c r="AN17" s="66">
        <v>0.83333333333333337</v>
      </c>
      <c r="AO17" s="67" t="s">
        <v>147</v>
      </c>
      <c r="AP17" s="68"/>
      <c r="AQ17" s="64">
        <v>7</v>
      </c>
      <c r="AR17" s="65"/>
      <c r="AS17" s="66"/>
      <c r="AT17" s="126"/>
      <c r="AU17" s="63"/>
      <c r="AV17" s="64">
        <v>7</v>
      </c>
      <c r="AW17" s="65"/>
      <c r="AX17" s="66"/>
      <c r="AY17" s="126"/>
      <c r="AZ17" s="98"/>
      <c r="BA17" s="64">
        <v>7</v>
      </c>
      <c r="BB17" s="65"/>
      <c r="BC17" s="66"/>
      <c r="BD17" s="126"/>
      <c r="BE17" s="63"/>
      <c r="BF17" s="64">
        <v>7</v>
      </c>
      <c r="BG17" s="65"/>
      <c r="BH17" s="66"/>
      <c r="BI17" s="126"/>
      <c r="BJ17" s="98"/>
      <c r="BK17" s="64">
        <v>7</v>
      </c>
      <c r="BL17" s="65"/>
      <c r="BM17" s="66"/>
      <c r="BN17" s="99"/>
      <c r="BO17" s="54"/>
      <c r="BP17" s="69"/>
      <c r="BQ17" s="55"/>
      <c r="BR17" s="57" t="s">
        <v>1642</v>
      </c>
      <c r="BS17" s="54"/>
      <c r="BT17" s="56"/>
      <c r="BU17" s="56"/>
      <c r="BV17" s="57"/>
      <c r="BW17" s="60"/>
      <c r="BX17" s="187"/>
      <c r="BY17" s="56"/>
      <c r="BZ17" s="56"/>
      <c r="CA17" s="56"/>
      <c r="CB17" s="72"/>
      <c r="CC17" s="72"/>
      <c r="CD17" s="72"/>
      <c r="CE17" s="60" t="s">
        <v>354</v>
      </c>
      <c r="CF17" s="72" t="s">
        <v>355</v>
      </c>
      <c r="CG17" s="56" t="s">
        <v>1636</v>
      </c>
      <c r="CH17" s="57" t="s">
        <v>407</v>
      </c>
      <c r="CI17" s="52" t="s">
        <v>146</v>
      </c>
      <c r="CJ17" s="52" t="s">
        <v>146</v>
      </c>
      <c r="CK17" s="52" t="s">
        <v>146</v>
      </c>
      <c r="CL17" s="52" t="s">
        <v>146</v>
      </c>
      <c r="CM17" s="52" t="s">
        <v>146</v>
      </c>
      <c r="CN17" s="52" t="s">
        <v>146</v>
      </c>
      <c r="CO17" s="52" t="s">
        <v>142</v>
      </c>
      <c r="CP17" s="52" t="s">
        <v>142</v>
      </c>
      <c r="CQ17" s="52" t="s">
        <v>142</v>
      </c>
      <c r="CR17" s="52" t="s">
        <v>146</v>
      </c>
      <c r="CS17" s="52" t="s">
        <v>146</v>
      </c>
      <c r="CT17" s="52" t="s">
        <v>146</v>
      </c>
      <c r="CU17" s="52" t="s">
        <v>146</v>
      </c>
      <c r="CV17" s="52" t="s">
        <v>146</v>
      </c>
      <c r="CW17" s="52" t="s">
        <v>142</v>
      </c>
      <c r="CX17" s="52" t="s">
        <v>142</v>
      </c>
      <c r="CY17" s="52" t="s">
        <v>142</v>
      </c>
      <c r="CZ17" s="59" t="s">
        <v>146</v>
      </c>
      <c r="DA17" s="74" t="s">
        <v>142</v>
      </c>
      <c r="DB17" s="75" t="s">
        <v>142</v>
      </c>
      <c r="DC17" s="50" t="s">
        <v>156</v>
      </c>
      <c r="DD17" s="50" t="s">
        <v>146</v>
      </c>
      <c r="DE17" s="50" t="s">
        <v>157</v>
      </c>
      <c r="DF17" s="50" t="s">
        <v>146</v>
      </c>
      <c r="DG17" s="73"/>
      <c r="DH17" s="73"/>
      <c r="DI17" s="74"/>
      <c r="DJ17" s="75"/>
      <c r="DK17" s="76" t="s">
        <v>146</v>
      </c>
      <c r="DL17" s="76" t="s">
        <v>146</v>
      </c>
      <c r="DM17" s="76" t="s">
        <v>146</v>
      </c>
      <c r="DN17" s="790"/>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48">
        <v>16</v>
      </c>
      <c r="B18" s="49">
        <v>202609</v>
      </c>
      <c r="C18" s="170" t="s">
        <v>1705</v>
      </c>
      <c r="D18" s="50" t="s">
        <v>133</v>
      </c>
      <c r="E18" s="51">
        <v>6023</v>
      </c>
      <c r="F18" s="52" t="s">
        <v>134</v>
      </c>
      <c r="G18" s="53" t="s">
        <v>347</v>
      </c>
      <c r="H18" s="97" t="s">
        <v>1693</v>
      </c>
      <c r="I18" s="57" t="s">
        <v>1694</v>
      </c>
      <c r="J18" s="60" t="s">
        <v>1706</v>
      </c>
      <c r="K18" s="56" t="s">
        <v>1707</v>
      </c>
      <c r="L18" s="55"/>
      <c r="M18" s="56" t="s">
        <v>1708</v>
      </c>
      <c r="N18" s="57" t="s">
        <v>1709</v>
      </c>
      <c r="O18" s="446" t="s">
        <v>142</v>
      </c>
      <c r="P18" s="96" t="s">
        <v>146</v>
      </c>
      <c r="Q18" s="60" t="s">
        <v>1600</v>
      </c>
      <c r="R18" s="61" t="s">
        <v>1601</v>
      </c>
      <c r="S18" s="55">
        <v>0</v>
      </c>
      <c r="T18" s="55">
        <v>0</v>
      </c>
      <c r="U18" s="55">
        <v>0</v>
      </c>
      <c r="V18" s="55">
        <v>0</v>
      </c>
      <c r="W18" s="55">
        <v>0</v>
      </c>
      <c r="X18" s="55">
        <v>0</v>
      </c>
      <c r="Y18" s="55">
        <v>80</v>
      </c>
      <c r="Z18" s="55">
        <v>0</v>
      </c>
      <c r="AA18" s="55">
        <v>20</v>
      </c>
      <c r="AB18" s="53">
        <v>100</v>
      </c>
      <c r="AC18" s="97" t="s">
        <v>245</v>
      </c>
      <c r="AD18" s="55" t="s">
        <v>190</v>
      </c>
      <c r="AE18" s="55" t="s">
        <v>146</v>
      </c>
      <c r="AF18" s="55" t="s">
        <v>146</v>
      </c>
      <c r="AG18" s="55" t="s">
        <v>142</v>
      </c>
      <c r="AH18" s="55">
        <v>2</v>
      </c>
      <c r="AI18" s="55">
        <v>25</v>
      </c>
      <c r="AJ18" s="62">
        <v>50</v>
      </c>
      <c r="AK18" s="179" t="s">
        <v>390</v>
      </c>
      <c r="AL18" s="64" t="str">
        <f>TEXT(Sheet_1_Table_1_136[[#This Row],[Lesson 1 
Date 
(DD-MMM-YYYY)]], "ddd")</f>
        <v>TBC</v>
      </c>
      <c r="AM18" s="65"/>
      <c r="AN18" s="66"/>
      <c r="AO18" s="67"/>
      <c r="AP18" s="68"/>
      <c r="AQ18" s="64">
        <v>7</v>
      </c>
      <c r="AR18" s="65"/>
      <c r="AS18" s="66"/>
      <c r="AT18" s="126"/>
      <c r="AU18" s="63"/>
      <c r="AV18" s="64">
        <v>7</v>
      </c>
      <c r="AW18" s="65"/>
      <c r="AX18" s="66"/>
      <c r="AY18" s="126"/>
      <c r="AZ18" s="98"/>
      <c r="BA18" s="64">
        <v>7</v>
      </c>
      <c r="BB18" s="65"/>
      <c r="BC18" s="66"/>
      <c r="BD18" s="126"/>
      <c r="BE18" s="63"/>
      <c r="BF18" s="64">
        <v>7</v>
      </c>
      <c r="BG18" s="65"/>
      <c r="BH18" s="66"/>
      <c r="BI18" s="126"/>
      <c r="BJ18" s="98"/>
      <c r="BK18" s="64">
        <v>7</v>
      </c>
      <c r="BL18" s="65"/>
      <c r="BM18" s="66"/>
      <c r="BN18" s="99"/>
      <c r="BO18" s="54"/>
      <c r="BP18" s="69" t="s">
        <v>1710</v>
      </c>
      <c r="BQ18" s="55"/>
      <c r="BR18" s="57"/>
      <c r="BS18" s="54"/>
      <c r="BT18" s="56"/>
      <c r="BU18" s="56"/>
      <c r="BV18" s="57"/>
      <c r="BW18" s="60"/>
      <c r="BX18" s="187"/>
      <c r="BY18" s="56"/>
      <c r="BZ18" s="56" t="s">
        <v>353</v>
      </c>
      <c r="CA18" s="56"/>
      <c r="CB18" s="72"/>
      <c r="CC18" s="72"/>
      <c r="CD18" s="72"/>
      <c r="CE18" s="60" t="s">
        <v>1605</v>
      </c>
      <c r="CF18" s="72" t="s">
        <v>1606</v>
      </c>
      <c r="CG18" s="56" t="s">
        <v>406</v>
      </c>
      <c r="CH18" s="57" t="s">
        <v>407</v>
      </c>
      <c r="CI18" s="52" t="s">
        <v>146</v>
      </c>
      <c r="CJ18" s="52" t="s">
        <v>142</v>
      </c>
      <c r="CK18" s="52" t="s">
        <v>142</v>
      </c>
      <c r="CL18" s="52" t="s">
        <v>142</v>
      </c>
      <c r="CM18" s="52" t="s">
        <v>142</v>
      </c>
      <c r="CN18" s="52" t="s">
        <v>142</v>
      </c>
      <c r="CO18" s="52" t="s">
        <v>146</v>
      </c>
      <c r="CP18" s="52" t="s">
        <v>146</v>
      </c>
      <c r="CQ18" s="52" t="s">
        <v>146</v>
      </c>
      <c r="CR18" s="52" t="s">
        <v>146</v>
      </c>
      <c r="CS18" s="52" t="s">
        <v>142</v>
      </c>
      <c r="CT18" s="52" t="s">
        <v>146</v>
      </c>
      <c r="CU18" s="52" t="s">
        <v>142</v>
      </c>
      <c r="CV18" s="52" t="s">
        <v>142</v>
      </c>
      <c r="CW18" s="52" t="s">
        <v>146</v>
      </c>
      <c r="CX18" s="52" t="s">
        <v>146</v>
      </c>
      <c r="CY18" s="52" t="s">
        <v>142</v>
      </c>
      <c r="CZ18" s="59" t="s">
        <v>142</v>
      </c>
      <c r="DA18" s="74" t="s">
        <v>142</v>
      </c>
      <c r="DB18" s="75" t="s">
        <v>142</v>
      </c>
      <c r="DC18" s="50" t="s">
        <v>156</v>
      </c>
      <c r="DD18" s="50" t="s">
        <v>146</v>
      </c>
      <c r="DE18" s="50" t="s">
        <v>157</v>
      </c>
      <c r="DF18" s="50" t="s">
        <v>146</v>
      </c>
      <c r="DG18" s="73"/>
      <c r="DH18" s="73"/>
      <c r="DI18" s="74"/>
      <c r="DJ18" s="75"/>
      <c r="DK18" s="76" t="s">
        <v>146</v>
      </c>
      <c r="DL18" s="76" t="s">
        <v>146</v>
      </c>
      <c r="DM18" s="76" t="s">
        <v>146</v>
      </c>
      <c r="DN18" s="790"/>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17</v>
      </c>
      <c r="B19" s="49">
        <v>202609</v>
      </c>
      <c r="C19" s="50" t="s">
        <v>1711</v>
      </c>
      <c r="D19" s="50" t="s">
        <v>251</v>
      </c>
      <c r="E19" s="51">
        <v>5857</v>
      </c>
      <c r="F19" s="52" t="s">
        <v>1712</v>
      </c>
      <c r="G19" s="53" t="s">
        <v>1713</v>
      </c>
      <c r="H19" s="80" t="s">
        <v>1714</v>
      </c>
      <c r="I19" s="290" t="s">
        <v>1715</v>
      </c>
      <c r="J19" s="60" t="s">
        <v>1716</v>
      </c>
      <c r="K19" s="55" t="s">
        <v>1717</v>
      </c>
      <c r="L19" s="55"/>
      <c r="M19" s="56" t="s">
        <v>1718</v>
      </c>
      <c r="N19" s="57" t="s">
        <v>1719</v>
      </c>
      <c r="O19" s="58" t="s">
        <v>146</v>
      </c>
      <c r="P19" s="59" t="s">
        <v>146</v>
      </c>
      <c r="Q19" s="60" t="s">
        <v>1600</v>
      </c>
      <c r="R19" s="61" t="s">
        <v>1601</v>
      </c>
      <c r="S19" s="55">
        <v>0</v>
      </c>
      <c r="T19" s="55">
        <v>0</v>
      </c>
      <c r="U19" s="55">
        <v>100</v>
      </c>
      <c r="V19" s="55">
        <v>0</v>
      </c>
      <c r="W19" s="55">
        <v>0</v>
      </c>
      <c r="X19" s="55">
        <v>0</v>
      </c>
      <c r="Y19" s="55">
        <v>0</v>
      </c>
      <c r="Z19" s="55">
        <v>0</v>
      </c>
      <c r="AA19" s="55">
        <v>0</v>
      </c>
      <c r="AB19" s="53" t="e">
        <f>SUM([17]!Sheet_1_Table_1_13[[#This Row],[Leadership LS]:[Career Development  CR]])</f>
        <v>#REF!</v>
      </c>
      <c r="AC19" s="52" t="s">
        <v>199</v>
      </c>
      <c r="AD19" s="55" t="s">
        <v>190</v>
      </c>
      <c r="AE19" s="55" t="s">
        <v>142</v>
      </c>
      <c r="AF19" s="55" t="s">
        <v>146</v>
      </c>
      <c r="AG19" s="55" t="s">
        <v>142</v>
      </c>
      <c r="AH19" s="55">
        <v>2</v>
      </c>
      <c r="AI19" s="55">
        <v>20</v>
      </c>
      <c r="AJ19" s="62">
        <f>SUM(Sheet_1_Table_1_136[[#This Row],[ILP Units Per Session]]*Sheet_1_Table_1_136[[#This Row],[Quota]])</f>
        <v>40</v>
      </c>
      <c r="AK19" s="63">
        <v>46287</v>
      </c>
      <c r="AL19" s="64" t="str">
        <f>TEXT(Sheet_1_Table_1_136[[#This Row],[Lesson 1 
Date 
(DD-MMM-YYYY)]], "ddd")</f>
        <v>Tue</v>
      </c>
      <c r="AM19" s="65">
        <v>0.77083333333333337</v>
      </c>
      <c r="AN19" s="66">
        <v>0.85416666666666663</v>
      </c>
      <c r="AO19" s="67" t="s">
        <v>1720</v>
      </c>
      <c r="AP19" s="68"/>
      <c r="AQ19" s="64" t="e">
        <f>WEEKDAY([17]!Sheet_1_Table_1_13[[#This Row],[Lesson 2
Date 
(DD-MMM-YYYY)]])</f>
        <v>#REF!</v>
      </c>
      <c r="AR19" s="65"/>
      <c r="AS19" s="66"/>
      <c r="AT19" s="66"/>
      <c r="AU19" s="63"/>
      <c r="AV19" s="64" t="e">
        <f>WEEKDAY([17]!Sheet_1_Table_1_13[[#This Row],[Lesson 3
Date 
(DD-MMM-YYYY)]])</f>
        <v>#REF!</v>
      </c>
      <c r="AW19" s="65"/>
      <c r="AX19" s="66"/>
      <c r="AY19" s="67"/>
      <c r="AZ19" s="68"/>
      <c r="BA19" s="64" t="e">
        <f>WEEKDAY([17]!Sheet_1_Table_1_13[[#This Row],[Lesson 4
Date 
(DD-MMM-YYYY)]])</f>
        <v>#REF!</v>
      </c>
      <c r="BB19" s="65"/>
      <c r="BC19" s="66"/>
      <c r="BD19" s="66"/>
      <c r="BE19" s="63"/>
      <c r="BF19" s="64" t="e">
        <f>WEEKDAY([17]!Sheet_1_Table_1_13[[#This Row],[Lesson 5
Date 
(DD-MMM-YYYY)]])</f>
        <v>#REF!</v>
      </c>
      <c r="BG19" s="65"/>
      <c r="BH19" s="66"/>
      <c r="BI19" s="67"/>
      <c r="BJ19" s="68"/>
      <c r="BK19" s="64" t="e">
        <f>WEEKDAY([17]!Sheet_1_Table_1_13[[#This Row],[Lesson 6
Date 
(DD-MMM-YYYY)]])</f>
        <v>#REF!</v>
      </c>
      <c r="BL19" s="65"/>
      <c r="BM19" s="66"/>
      <c r="BN19" s="66"/>
      <c r="BO19" s="54" t="s">
        <v>293</v>
      </c>
      <c r="BP19" s="69" t="s">
        <v>1721</v>
      </c>
      <c r="BQ19" s="447" t="s">
        <v>1722</v>
      </c>
      <c r="BR19" s="448" t="s">
        <v>1723</v>
      </c>
      <c r="BS19" s="52"/>
      <c r="BT19" s="56"/>
      <c r="BU19" s="56"/>
      <c r="BV19" s="70"/>
      <c r="BW19" s="60"/>
      <c r="BX19" s="71"/>
      <c r="BY19" s="56" t="s">
        <v>184</v>
      </c>
      <c r="BZ19" s="56"/>
      <c r="CA19" s="56" t="s">
        <v>1724</v>
      </c>
      <c r="CB19" s="72"/>
      <c r="CC19" s="72"/>
      <c r="CD19" s="71"/>
      <c r="CE19" s="449" t="s">
        <v>1725</v>
      </c>
      <c r="CF19" s="164" t="s">
        <v>1726</v>
      </c>
      <c r="CG19" s="56"/>
      <c r="CH19" s="57"/>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9"/>
      <c r="DB19" s="50"/>
      <c r="DC19" s="50"/>
      <c r="DD19" s="50"/>
      <c r="DE19" s="50"/>
      <c r="DF19" s="50"/>
      <c r="DG19" s="73"/>
      <c r="DH19" s="73"/>
      <c r="DI19" s="74"/>
      <c r="DJ19" s="75"/>
      <c r="DK19" s="76"/>
      <c r="DL19" s="76"/>
      <c r="DM19" s="76" t="s">
        <v>146</v>
      </c>
      <c r="DN19" s="790"/>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18</v>
      </c>
      <c r="B20" s="49">
        <v>202609</v>
      </c>
      <c r="C20" s="197" t="s">
        <v>1727</v>
      </c>
      <c r="D20" s="50" t="s">
        <v>251</v>
      </c>
      <c r="E20" s="198">
        <v>5854</v>
      </c>
      <c r="F20" s="52" t="s">
        <v>1712</v>
      </c>
      <c r="G20" s="53" t="s">
        <v>1713</v>
      </c>
      <c r="H20" s="80" t="s">
        <v>1714</v>
      </c>
      <c r="I20" s="290" t="s">
        <v>1715</v>
      </c>
      <c r="J20" s="214" t="s">
        <v>1728</v>
      </c>
      <c r="K20" s="55" t="s">
        <v>1729</v>
      </c>
      <c r="L20" s="55"/>
      <c r="M20" s="56" t="s">
        <v>1730</v>
      </c>
      <c r="N20" s="211" t="s">
        <v>1731</v>
      </c>
      <c r="O20" s="58" t="s">
        <v>146</v>
      </c>
      <c r="P20" s="450" t="s">
        <v>146</v>
      </c>
      <c r="Q20" s="214" t="s">
        <v>1600</v>
      </c>
      <c r="R20" s="77" t="s">
        <v>1601</v>
      </c>
      <c r="S20" s="55">
        <v>0</v>
      </c>
      <c r="T20" s="55">
        <v>0</v>
      </c>
      <c r="U20" s="55">
        <v>0</v>
      </c>
      <c r="V20" s="55">
        <v>0</v>
      </c>
      <c r="W20" s="55">
        <v>100</v>
      </c>
      <c r="X20" s="55">
        <v>0</v>
      </c>
      <c r="Y20" s="55">
        <v>0</v>
      </c>
      <c r="Z20" s="55">
        <v>0</v>
      </c>
      <c r="AA20" s="55">
        <v>0</v>
      </c>
      <c r="AB20" s="53">
        <v>100</v>
      </c>
      <c r="AC20" s="52" t="s">
        <v>199</v>
      </c>
      <c r="AD20" s="201" t="s">
        <v>190</v>
      </c>
      <c r="AE20" s="201" t="s">
        <v>142</v>
      </c>
      <c r="AF20" s="201" t="s">
        <v>146</v>
      </c>
      <c r="AG20" s="201" t="s">
        <v>146</v>
      </c>
      <c r="AH20" s="201">
        <v>1</v>
      </c>
      <c r="AI20" s="55">
        <v>20</v>
      </c>
      <c r="AJ20" s="62">
        <f>SUM(Sheet_1_Table_1_136[[#This Row],[ILP Units Per Session]]*Sheet_1_Table_1_136[[#This Row],[Quota]])</f>
        <v>20</v>
      </c>
      <c r="AK20" s="203">
        <v>46288</v>
      </c>
      <c r="AL20" s="64" t="str">
        <f>TEXT(Sheet_1_Table_1_136[[#This Row],[Lesson 1 
Date 
(DD-MMM-YYYY)]], "ddd")</f>
        <v>Wed</v>
      </c>
      <c r="AM20" s="204">
        <v>0.79166666666666663</v>
      </c>
      <c r="AN20" s="205">
        <v>0.83333333333333337</v>
      </c>
      <c r="AO20" s="67" t="s">
        <v>1720</v>
      </c>
      <c r="AP20" s="68"/>
      <c r="AQ20" s="64">
        <v>7</v>
      </c>
      <c r="AR20" s="65"/>
      <c r="AS20" s="66"/>
      <c r="AT20" s="66"/>
      <c r="AU20" s="203"/>
      <c r="AV20" s="165">
        <v>7</v>
      </c>
      <c r="AW20" s="204"/>
      <c r="AX20" s="205"/>
      <c r="AY20" s="207"/>
      <c r="AZ20" s="68"/>
      <c r="BA20" s="64">
        <v>7</v>
      </c>
      <c r="BB20" s="65"/>
      <c r="BC20" s="66"/>
      <c r="BD20" s="66"/>
      <c r="BE20" s="203"/>
      <c r="BF20" s="165">
        <v>7</v>
      </c>
      <c r="BG20" s="204"/>
      <c r="BH20" s="205"/>
      <c r="BI20" s="207"/>
      <c r="BJ20" s="68"/>
      <c r="BK20" s="165">
        <v>7</v>
      </c>
      <c r="BL20" s="204"/>
      <c r="BM20" s="205"/>
      <c r="BN20" s="205"/>
      <c r="BO20" s="208" t="s">
        <v>163</v>
      </c>
      <c r="BP20" s="209" t="s">
        <v>1732</v>
      </c>
      <c r="BQ20" s="201" t="s">
        <v>1733</v>
      </c>
      <c r="BR20" s="211" t="s">
        <v>1734</v>
      </c>
      <c r="BS20" s="52"/>
      <c r="BT20" s="209"/>
      <c r="BU20" s="201"/>
      <c r="BV20" s="70"/>
      <c r="BW20" s="60"/>
      <c r="BX20" s="71"/>
      <c r="BY20" s="210"/>
      <c r="BZ20" s="210"/>
      <c r="CA20" s="210" t="s">
        <v>1735</v>
      </c>
      <c r="CB20" s="212"/>
      <c r="CC20" s="212"/>
      <c r="CD20" s="213"/>
      <c r="CE20" s="214" t="s">
        <v>1736</v>
      </c>
      <c r="CF20" s="213" t="s">
        <v>1737</v>
      </c>
      <c r="CG20" s="56"/>
      <c r="CH20" s="57"/>
      <c r="CI20" s="215" t="s">
        <v>146</v>
      </c>
      <c r="CJ20" s="52" t="s">
        <v>142</v>
      </c>
      <c r="CK20" s="52" t="s">
        <v>142</v>
      </c>
      <c r="CL20" s="52" t="s">
        <v>142</v>
      </c>
      <c r="CM20" s="52" t="s">
        <v>146</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9"/>
      <c r="DB20" s="50"/>
      <c r="DC20" s="50"/>
      <c r="DD20" s="50"/>
      <c r="DE20" s="50"/>
      <c r="DF20" s="50"/>
      <c r="DG20" s="73"/>
      <c r="DH20" s="73"/>
      <c r="DI20" s="74"/>
      <c r="DJ20" s="75"/>
      <c r="DK20" s="76" t="s">
        <v>146</v>
      </c>
      <c r="DL20" s="76" t="s">
        <v>146</v>
      </c>
      <c r="DM20" s="76" t="s">
        <v>146</v>
      </c>
      <c r="DN20" s="790"/>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19</v>
      </c>
      <c r="B21" s="49">
        <v>202609</v>
      </c>
      <c r="C21" s="50" t="s">
        <v>1738</v>
      </c>
      <c r="D21" s="50" t="s">
        <v>251</v>
      </c>
      <c r="E21" s="198">
        <v>5855</v>
      </c>
      <c r="F21" s="52" t="s">
        <v>1712</v>
      </c>
      <c r="G21" s="53" t="s">
        <v>1713</v>
      </c>
      <c r="H21" s="80" t="s">
        <v>1714</v>
      </c>
      <c r="I21" s="290" t="s">
        <v>1715</v>
      </c>
      <c r="J21" s="214" t="s">
        <v>1739</v>
      </c>
      <c r="K21" s="55" t="s">
        <v>1740</v>
      </c>
      <c r="L21" s="55"/>
      <c r="M21" s="56" t="s">
        <v>1741</v>
      </c>
      <c r="N21" s="211" t="s">
        <v>1742</v>
      </c>
      <c r="O21" s="58" t="s">
        <v>146</v>
      </c>
      <c r="P21" s="450" t="s">
        <v>146</v>
      </c>
      <c r="Q21" s="214" t="s">
        <v>1600</v>
      </c>
      <c r="R21" s="77" t="s">
        <v>1601</v>
      </c>
      <c r="S21" s="55">
        <v>0</v>
      </c>
      <c r="T21" s="55">
        <v>0</v>
      </c>
      <c r="U21" s="55">
        <v>0</v>
      </c>
      <c r="V21" s="55">
        <v>0</v>
      </c>
      <c r="W21" s="55">
        <v>100</v>
      </c>
      <c r="X21" s="55">
        <v>0</v>
      </c>
      <c r="Y21" s="55">
        <v>0</v>
      </c>
      <c r="Z21" s="55">
        <v>0</v>
      </c>
      <c r="AA21" s="55">
        <v>0</v>
      </c>
      <c r="AB21" s="53">
        <v>100</v>
      </c>
      <c r="AC21" s="52" t="s">
        <v>199</v>
      </c>
      <c r="AD21" s="201" t="s">
        <v>190</v>
      </c>
      <c r="AE21" s="201" t="s">
        <v>142</v>
      </c>
      <c r="AF21" s="201" t="s">
        <v>146</v>
      </c>
      <c r="AG21" s="201" t="s">
        <v>146</v>
      </c>
      <c r="AH21" s="201">
        <v>1</v>
      </c>
      <c r="AI21" s="55">
        <v>20</v>
      </c>
      <c r="AJ21" s="62">
        <f>SUM(Sheet_1_Table_1_136[[#This Row],[ILP Units Per Session]]*Sheet_1_Table_1_136[[#This Row],[Quota]])</f>
        <v>20</v>
      </c>
      <c r="AK21" s="203">
        <v>46288</v>
      </c>
      <c r="AL21" s="64" t="str">
        <f>TEXT(Sheet_1_Table_1_136[[#This Row],[Lesson 1 
Date 
(DD-MMM-YYYY)]], "ddd")</f>
        <v>Wed</v>
      </c>
      <c r="AM21" s="204">
        <v>0.83333333333333337</v>
      </c>
      <c r="AN21" s="205">
        <v>0.875</v>
      </c>
      <c r="AO21" s="67" t="s">
        <v>1720</v>
      </c>
      <c r="AP21" s="68"/>
      <c r="AQ21" s="64">
        <v>7</v>
      </c>
      <c r="AR21" s="65"/>
      <c r="AS21" s="66"/>
      <c r="AT21" s="66"/>
      <c r="AU21" s="203"/>
      <c r="AV21" s="165">
        <v>7</v>
      </c>
      <c r="AW21" s="204"/>
      <c r="AX21" s="205"/>
      <c r="AY21" s="207"/>
      <c r="AZ21" s="68"/>
      <c r="BA21" s="64">
        <v>7</v>
      </c>
      <c r="BB21" s="65"/>
      <c r="BC21" s="66"/>
      <c r="BD21" s="66"/>
      <c r="BE21" s="203"/>
      <c r="BF21" s="165">
        <v>7</v>
      </c>
      <c r="BG21" s="204"/>
      <c r="BH21" s="205"/>
      <c r="BI21" s="207"/>
      <c r="BJ21" s="68"/>
      <c r="BK21" s="165">
        <v>7</v>
      </c>
      <c r="BL21" s="204"/>
      <c r="BM21" s="205"/>
      <c r="BN21" s="205"/>
      <c r="BO21" s="208" t="s">
        <v>163</v>
      </c>
      <c r="BP21" s="209" t="s">
        <v>1732</v>
      </c>
      <c r="BQ21" s="201" t="s">
        <v>1733</v>
      </c>
      <c r="BR21" s="211" t="s">
        <v>1734</v>
      </c>
      <c r="BS21" s="52"/>
      <c r="BT21" s="209"/>
      <c r="BU21" s="201"/>
      <c r="BV21" s="70"/>
      <c r="BW21" s="60"/>
      <c r="BX21" s="71"/>
      <c r="BY21" s="210" t="s">
        <v>184</v>
      </c>
      <c r="BZ21" s="210"/>
      <c r="CA21" s="210" t="s">
        <v>1735</v>
      </c>
      <c r="CB21" s="212"/>
      <c r="CC21" s="212"/>
      <c r="CD21" s="213"/>
      <c r="CE21" s="214" t="s">
        <v>1736</v>
      </c>
      <c r="CF21" s="213" t="s">
        <v>1737</v>
      </c>
      <c r="CG21" s="56"/>
      <c r="CH21" s="57"/>
      <c r="CI21" s="215" t="s">
        <v>146</v>
      </c>
      <c r="CJ21" s="52" t="s">
        <v>142</v>
      </c>
      <c r="CK21" s="52" t="s">
        <v>142</v>
      </c>
      <c r="CL21" s="52" t="s">
        <v>142</v>
      </c>
      <c r="CM21" s="52" t="s">
        <v>146</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9"/>
      <c r="DB21" s="50"/>
      <c r="DC21" s="50"/>
      <c r="DD21" s="50"/>
      <c r="DE21" s="50"/>
      <c r="DF21" s="50"/>
      <c r="DG21" s="73"/>
      <c r="DH21" s="73"/>
      <c r="DI21" s="74"/>
      <c r="DJ21" s="75"/>
      <c r="DK21" s="76" t="s">
        <v>146</v>
      </c>
      <c r="DL21" s="76" t="s">
        <v>146</v>
      </c>
      <c r="DM21" s="76" t="s">
        <v>146</v>
      </c>
      <c r="DN21" s="790"/>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20</v>
      </c>
      <c r="B22" s="49">
        <v>202609</v>
      </c>
      <c r="C22" s="50" t="s">
        <v>1743</v>
      </c>
      <c r="D22" s="50" t="s">
        <v>251</v>
      </c>
      <c r="E22" s="51">
        <v>5856</v>
      </c>
      <c r="F22" s="52" t="s">
        <v>1712</v>
      </c>
      <c r="G22" s="53" t="s">
        <v>1713</v>
      </c>
      <c r="H22" s="80" t="s">
        <v>1714</v>
      </c>
      <c r="I22" s="290" t="s">
        <v>1715</v>
      </c>
      <c r="J22" s="141" t="s">
        <v>1744</v>
      </c>
      <c r="K22" s="55" t="s">
        <v>1745</v>
      </c>
      <c r="L22" s="55"/>
      <c r="M22" s="56" t="s">
        <v>1746</v>
      </c>
      <c r="N22" s="211" t="s">
        <v>1747</v>
      </c>
      <c r="O22" s="58" t="s">
        <v>146</v>
      </c>
      <c r="P22" s="450" t="s">
        <v>146</v>
      </c>
      <c r="Q22" s="214" t="s">
        <v>1600</v>
      </c>
      <c r="R22" s="61" t="s">
        <v>1601</v>
      </c>
      <c r="S22" s="55">
        <v>0</v>
      </c>
      <c r="T22" s="55">
        <v>0</v>
      </c>
      <c r="U22" s="55">
        <v>30</v>
      </c>
      <c r="V22" s="55">
        <v>50</v>
      </c>
      <c r="W22" s="55">
        <v>0</v>
      </c>
      <c r="X22" s="55">
        <v>0</v>
      </c>
      <c r="Y22" s="55">
        <v>0</v>
      </c>
      <c r="Z22" s="55">
        <v>0</v>
      </c>
      <c r="AA22" s="55">
        <v>20</v>
      </c>
      <c r="AB22" s="53">
        <v>100</v>
      </c>
      <c r="AC22" s="52" t="s">
        <v>199</v>
      </c>
      <c r="AD22" s="55" t="s">
        <v>190</v>
      </c>
      <c r="AE22" s="55" t="s">
        <v>142</v>
      </c>
      <c r="AF22" s="55" t="s">
        <v>142</v>
      </c>
      <c r="AG22" s="55" t="s">
        <v>146</v>
      </c>
      <c r="AH22" s="55">
        <v>1</v>
      </c>
      <c r="AI22" s="55">
        <v>20</v>
      </c>
      <c r="AJ22" s="62">
        <f>SUM(Sheet_1_Table_1_136[[#This Row],[ILP Units Per Session]]*Sheet_1_Table_1_136[[#This Row],[Quota]])</f>
        <v>20</v>
      </c>
      <c r="AK22" s="63">
        <v>46289</v>
      </c>
      <c r="AL22" s="64" t="str">
        <f>TEXT(Sheet_1_Table_1_136[[#This Row],[Lesson 1 
Date 
(DD-MMM-YYYY)]], "ddd")</f>
        <v>Thu</v>
      </c>
      <c r="AM22" s="65">
        <v>0.8125</v>
      </c>
      <c r="AN22" s="66">
        <v>0.85416666666666663</v>
      </c>
      <c r="AO22" s="67" t="s">
        <v>1720</v>
      </c>
      <c r="AP22" s="68"/>
      <c r="AQ22" s="64" t="e">
        <f>WEEKDAY([17]!Sheet_1_Table_1_13[[#This Row],[Lesson 2
Date 
(DD-MMM-YYYY)]])</f>
        <v>#REF!</v>
      </c>
      <c r="AR22" s="65"/>
      <c r="AS22" s="66"/>
      <c r="AT22" s="66"/>
      <c r="AU22" s="63"/>
      <c r="AV22" s="64" t="e">
        <f>WEEKDAY([17]!Sheet_1_Table_1_13[[#This Row],[Lesson 3
Date 
(DD-MMM-YYYY)]])</f>
        <v>#REF!</v>
      </c>
      <c r="AW22" s="65"/>
      <c r="AX22" s="66"/>
      <c r="AY22" s="67"/>
      <c r="AZ22" s="68"/>
      <c r="BA22" s="64" t="e">
        <f>WEEKDAY([17]!Sheet_1_Table_1_13[[#This Row],[Lesson 4
Date 
(DD-MMM-YYYY)]])</f>
        <v>#REF!</v>
      </c>
      <c r="BB22" s="65"/>
      <c r="BC22" s="66"/>
      <c r="BD22" s="66"/>
      <c r="BE22" s="63"/>
      <c r="BF22" s="64" t="e">
        <f>WEEKDAY([17]!Sheet_1_Table_1_13[[#This Row],[Lesson 5
Date 
(DD-MMM-YYYY)]])</f>
        <v>#REF!</v>
      </c>
      <c r="BG22" s="65"/>
      <c r="BH22" s="66"/>
      <c r="BI22" s="67"/>
      <c r="BJ22" s="68"/>
      <c r="BK22" s="64" t="e">
        <f>WEEKDAY([17]!Sheet_1_Table_1_13[[#This Row],[Lesson 6
Date 
(DD-MMM-YYYY)]])</f>
        <v>#REF!</v>
      </c>
      <c r="BL22" s="65"/>
      <c r="BM22" s="66"/>
      <c r="BN22" s="66"/>
      <c r="BO22" s="54" t="s">
        <v>293</v>
      </c>
      <c r="BP22" s="69" t="s">
        <v>1748</v>
      </c>
      <c r="BQ22" s="55" t="s">
        <v>1749</v>
      </c>
      <c r="BR22" s="57" t="s">
        <v>1750</v>
      </c>
      <c r="BS22" s="52"/>
      <c r="BT22" s="56"/>
      <c r="BU22" s="56"/>
      <c r="BV22" s="70"/>
      <c r="BW22" s="60"/>
      <c r="BX22" s="71"/>
      <c r="BY22" s="56" t="s">
        <v>149</v>
      </c>
      <c r="BZ22" s="56"/>
      <c r="CA22" s="56" t="s">
        <v>1751</v>
      </c>
      <c r="CB22" s="72"/>
      <c r="CC22" s="72"/>
      <c r="CD22" s="71"/>
      <c r="CE22" s="60" t="s">
        <v>1752</v>
      </c>
      <c r="CF22" s="164" t="s">
        <v>1753</v>
      </c>
      <c r="CG22" s="56"/>
      <c r="CH22" s="57"/>
      <c r="CI22" s="52" t="s">
        <v>146</v>
      </c>
      <c r="CJ22" s="52" t="s">
        <v>142</v>
      </c>
      <c r="CK22" s="52" t="s">
        <v>142</v>
      </c>
      <c r="CL22" s="52" t="s">
        <v>142</v>
      </c>
      <c r="CM22" s="52" t="s">
        <v>146</v>
      </c>
      <c r="CN22" s="52" t="s">
        <v>142</v>
      </c>
      <c r="CO22" s="52" t="s">
        <v>142</v>
      </c>
      <c r="CP22" s="52" t="s">
        <v>142</v>
      </c>
      <c r="CQ22" s="52" t="s">
        <v>142</v>
      </c>
      <c r="CR22" s="52" t="s">
        <v>142</v>
      </c>
      <c r="CS22" s="52" t="s">
        <v>142</v>
      </c>
      <c r="CT22" s="52" t="s">
        <v>146</v>
      </c>
      <c r="CU22" s="52" t="s">
        <v>142</v>
      </c>
      <c r="CV22" s="52" t="s">
        <v>142</v>
      </c>
      <c r="CW22" s="52" t="s">
        <v>142</v>
      </c>
      <c r="CX22" s="52" t="s">
        <v>142</v>
      </c>
      <c r="CY22" s="52" t="s">
        <v>142</v>
      </c>
      <c r="CZ22" s="59" t="s">
        <v>142</v>
      </c>
      <c r="DA22" s="59"/>
      <c r="DB22" s="50"/>
      <c r="DC22" s="50"/>
      <c r="DD22" s="50"/>
      <c r="DE22" s="50"/>
      <c r="DF22" s="50"/>
      <c r="DG22" s="73"/>
      <c r="DH22" s="73"/>
      <c r="DI22" s="74"/>
      <c r="DJ22" s="75"/>
      <c r="DK22" s="76" t="s">
        <v>146</v>
      </c>
      <c r="DL22" s="76" t="s">
        <v>146</v>
      </c>
      <c r="DM22" s="76" t="s">
        <v>146</v>
      </c>
      <c r="DN22" s="790"/>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21</v>
      </c>
      <c r="B23" s="49">
        <v>202609</v>
      </c>
      <c r="C23" s="50" t="s">
        <v>1754</v>
      </c>
      <c r="D23" s="50" t="s">
        <v>174</v>
      </c>
      <c r="E23" s="51">
        <v>5858</v>
      </c>
      <c r="F23" s="52" t="s">
        <v>1712</v>
      </c>
      <c r="G23" s="53" t="s">
        <v>1713</v>
      </c>
      <c r="H23" s="80" t="s">
        <v>1714</v>
      </c>
      <c r="I23" s="290" t="s">
        <v>1715</v>
      </c>
      <c r="J23" s="60" t="s">
        <v>1755</v>
      </c>
      <c r="K23" s="55" t="s">
        <v>1756</v>
      </c>
      <c r="L23" s="55"/>
      <c r="M23" s="56" t="s">
        <v>1757</v>
      </c>
      <c r="N23" s="57" t="s">
        <v>1758</v>
      </c>
      <c r="O23" s="78" t="s">
        <v>146</v>
      </c>
      <c r="P23" s="59" t="s">
        <v>146</v>
      </c>
      <c r="Q23" s="60" t="s">
        <v>1600</v>
      </c>
      <c r="R23" s="77" t="s">
        <v>1601</v>
      </c>
      <c r="S23" s="55">
        <v>0</v>
      </c>
      <c r="T23" s="55">
        <v>0</v>
      </c>
      <c r="U23" s="55">
        <v>0</v>
      </c>
      <c r="V23" s="55">
        <v>0</v>
      </c>
      <c r="W23" s="55">
        <v>0</v>
      </c>
      <c r="X23" s="55">
        <v>10</v>
      </c>
      <c r="Y23" s="55">
        <v>0</v>
      </c>
      <c r="Z23" s="55">
        <v>80</v>
      </c>
      <c r="AA23" s="55">
        <v>10</v>
      </c>
      <c r="AB23" s="53">
        <v>100</v>
      </c>
      <c r="AC23" s="52" t="s">
        <v>199</v>
      </c>
      <c r="AD23" s="55" t="s">
        <v>190</v>
      </c>
      <c r="AE23" s="55" t="s">
        <v>1759</v>
      </c>
      <c r="AF23" s="55" t="s">
        <v>1759</v>
      </c>
      <c r="AG23" s="55" t="s">
        <v>1759</v>
      </c>
      <c r="AH23" s="55">
        <v>1.5</v>
      </c>
      <c r="AI23" s="55">
        <v>20</v>
      </c>
      <c r="AJ23" s="62">
        <f>SUM(Sheet_1_Table_1_136[[#This Row],[ILP Units Per Session]]*Sheet_1_Table_1_136[[#This Row],[Quota]])</f>
        <v>30</v>
      </c>
      <c r="AK23" s="63">
        <v>46301</v>
      </c>
      <c r="AL23" s="64" t="str">
        <f>TEXT(Sheet_1_Table_1_136[[#This Row],[Lesson 1 
Date 
(DD-MMM-YYYY)]], "ddd")</f>
        <v>Tue</v>
      </c>
      <c r="AM23" s="65">
        <v>0.83333333333333337</v>
      </c>
      <c r="AN23" s="66">
        <v>0.89583333333333337</v>
      </c>
      <c r="AO23" s="67" t="s">
        <v>1720</v>
      </c>
      <c r="AP23" s="68"/>
      <c r="AQ23" s="64" t="e">
        <f>WEEKDAY([17]!Sheet_1_Table_1_13[[#This Row],[Lesson 2
Date 
(DD-MMM-YYYY)]])</f>
        <v>#REF!</v>
      </c>
      <c r="AR23" s="65"/>
      <c r="AS23" s="66"/>
      <c r="AT23" s="66"/>
      <c r="AU23" s="63"/>
      <c r="AV23" s="64" t="e">
        <f>WEEKDAY([17]!Sheet_1_Table_1_13[[#This Row],[Lesson 3
Date 
(DD-MMM-YYYY)]])</f>
        <v>#REF!</v>
      </c>
      <c r="AW23" s="65"/>
      <c r="AX23" s="66"/>
      <c r="AY23" s="67"/>
      <c r="AZ23" s="68"/>
      <c r="BA23" s="64" t="e">
        <f>WEEKDAY([17]!Sheet_1_Table_1_13[[#This Row],[Lesson 4
Date 
(DD-MMM-YYYY)]])</f>
        <v>#REF!</v>
      </c>
      <c r="BB23" s="65"/>
      <c r="BC23" s="66"/>
      <c r="BD23" s="66"/>
      <c r="BE23" s="63"/>
      <c r="BF23" s="64" t="e">
        <f>WEEKDAY([17]!Sheet_1_Table_1_13[[#This Row],[Lesson 5
Date 
(DD-MMM-YYYY)]])</f>
        <v>#REF!</v>
      </c>
      <c r="BG23" s="65"/>
      <c r="BH23" s="66"/>
      <c r="BI23" s="67"/>
      <c r="BJ23" s="68"/>
      <c r="BK23" s="64" t="e">
        <f>WEEKDAY([17]!Sheet_1_Table_1_13[[#This Row],[Lesson 6
Date 
(DD-MMM-YYYY)]])</f>
        <v>#REF!</v>
      </c>
      <c r="BL23" s="65"/>
      <c r="BM23" s="66"/>
      <c r="BN23" s="66"/>
      <c r="BO23" s="54" t="s">
        <v>1760</v>
      </c>
      <c r="BP23" s="69" t="s">
        <v>1761</v>
      </c>
      <c r="BQ23" s="55" t="s">
        <v>1762</v>
      </c>
      <c r="BR23" s="57" t="s">
        <v>1750</v>
      </c>
      <c r="BS23" s="52"/>
      <c r="BT23" s="56"/>
      <c r="BU23" s="56"/>
      <c r="BV23" s="70"/>
      <c r="BW23" s="60"/>
      <c r="BX23" s="71"/>
      <c r="BY23" s="56" t="s">
        <v>184</v>
      </c>
      <c r="BZ23" s="56"/>
      <c r="CA23" s="56" t="s">
        <v>1763</v>
      </c>
      <c r="CB23" s="72"/>
      <c r="CC23" s="72"/>
      <c r="CD23" s="71"/>
      <c r="CE23" s="60" t="s">
        <v>1764</v>
      </c>
      <c r="CF23" s="164" t="s">
        <v>1765</v>
      </c>
      <c r="CG23" s="56" t="s">
        <v>1766</v>
      </c>
      <c r="CH23" s="291" t="s">
        <v>1767</v>
      </c>
      <c r="CI23" s="52" t="s">
        <v>1759</v>
      </c>
      <c r="CJ23" s="52" t="s">
        <v>142</v>
      </c>
      <c r="CK23" s="52" t="s">
        <v>142</v>
      </c>
      <c r="CL23" s="52" t="s">
        <v>142</v>
      </c>
      <c r="CM23" s="52" t="s">
        <v>1759</v>
      </c>
      <c r="CN23" s="52" t="s">
        <v>142</v>
      </c>
      <c r="CO23" s="52" t="s">
        <v>142</v>
      </c>
      <c r="CP23" s="52" t="s">
        <v>142</v>
      </c>
      <c r="CQ23" s="52" t="s">
        <v>1768</v>
      </c>
      <c r="CR23" s="52" t="s">
        <v>142</v>
      </c>
      <c r="CS23" s="52" t="s">
        <v>1759</v>
      </c>
      <c r="CT23" s="52" t="s">
        <v>142</v>
      </c>
      <c r="CU23" s="52" t="s">
        <v>1759</v>
      </c>
      <c r="CV23" s="52" t="s">
        <v>142</v>
      </c>
      <c r="CW23" s="52" t="s">
        <v>142</v>
      </c>
      <c r="CX23" s="52" t="s">
        <v>142</v>
      </c>
      <c r="CY23" s="52" t="s">
        <v>142</v>
      </c>
      <c r="CZ23" s="59" t="s">
        <v>142</v>
      </c>
      <c r="DA23" s="59"/>
      <c r="DB23" s="50"/>
      <c r="DC23" s="50"/>
      <c r="DD23" s="50"/>
      <c r="DE23" s="50"/>
      <c r="DF23" s="50"/>
      <c r="DG23" s="73"/>
      <c r="DH23" s="73"/>
      <c r="DI23" s="74"/>
      <c r="DJ23" s="75"/>
      <c r="DK23" s="76" t="s">
        <v>146</v>
      </c>
      <c r="DL23" s="76" t="s">
        <v>146</v>
      </c>
      <c r="DM23" s="76" t="s">
        <v>146</v>
      </c>
      <c r="DN23" s="790"/>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22</v>
      </c>
      <c r="B24" s="49">
        <v>202609</v>
      </c>
      <c r="C24" s="50" t="s">
        <v>1769</v>
      </c>
      <c r="D24" s="50" t="s">
        <v>174</v>
      </c>
      <c r="E24" s="51">
        <v>5859</v>
      </c>
      <c r="F24" s="52" t="s">
        <v>1712</v>
      </c>
      <c r="G24" s="53" t="s">
        <v>1713</v>
      </c>
      <c r="H24" s="80" t="s">
        <v>1714</v>
      </c>
      <c r="I24" s="290" t="s">
        <v>1715</v>
      </c>
      <c r="J24" s="60" t="s">
        <v>1770</v>
      </c>
      <c r="K24" s="55" t="s">
        <v>1771</v>
      </c>
      <c r="L24" s="55" t="s">
        <v>1772</v>
      </c>
      <c r="M24" s="56" t="s">
        <v>1773</v>
      </c>
      <c r="N24" s="57" t="s">
        <v>1774</v>
      </c>
      <c r="O24" s="78" t="s">
        <v>146</v>
      </c>
      <c r="P24" s="59" t="s">
        <v>146</v>
      </c>
      <c r="Q24" s="60" t="s">
        <v>1600</v>
      </c>
      <c r="R24" s="77" t="s">
        <v>1601</v>
      </c>
      <c r="S24" s="55">
        <v>0</v>
      </c>
      <c r="T24" s="55">
        <v>0</v>
      </c>
      <c r="U24" s="55">
        <v>0</v>
      </c>
      <c r="V24" s="55">
        <v>0</v>
      </c>
      <c r="W24" s="55">
        <v>0</v>
      </c>
      <c r="X24" s="55">
        <v>50</v>
      </c>
      <c r="Y24" s="55">
        <v>50</v>
      </c>
      <c r="Z24" s="55">
        <v>0</v>
      </c>
      <c r="AA24" s="55">
        <v>0</v>
      </c>
      <c r="AB24" s="53">
        <v>100</v>
      </c>
      <c r="AC24" s="52" t="s">
        <v>199</v>
      </c>
      <c r="AD24" s="55" t="s">
        <v>190</v>
      </c>
      <c r="AE24" s="55" t="s">
        <v>142</v>
      </c>
      <c r="AF24" s="55" t="s">
        <v>146</v>
      </c>
      <c r="AG24" s="55" t="s">
        <v>146</v>
      </c>
      <c r="AH24" s="55">
        <v>1</v>
      </c>
      <c r="AI24" s="55">
        <v>15</v>
      </c>
      <c r="AJ24" s="62">
        <f>SUM(Sheet_1_Table_1_136[[#This Row],[ILP Units Per Session]]*Sheet_1_Table_1_136[[#This Row],[Quota]])</f>
        <v>15</v>
      </c>
      <c r="AK24" s="63">
        <v>46302</v>
      </c>
      <c r="AL24" s="64" t="str">
        <f>TEXT(Sheet_1_Table_1_136[[#This Row],[Lesson 1 
Date 
(DD-MMM-YYYY)]], "ddd")</f>
        <v>Wed</v>
      </c>
      <c r="AM24" s="65">
        <v>0.79166666666666663</v>
      </c>
      <c r="AN24" s="66">
        <v>0.83333333333333337</v>
      </c>
      <c r="AO24" s="67" t="s">
        <v>1720</v>
      </c>
      <c r="AP24" s="68"/>
      <c r="AQ24" s="64" t="e">
        <f>WEEKDAY([17]!Sheet_1_Table_1_13[[#This Row],[Lesson 2
Date 
(DD-MMM-YYYY)]])</f>
        <v>#REF!</v>
      </c>
      <c r="AR24" s="65"/>
      <c r="AS24" s="66"/>
      <c r="AT24" s="66"/>
      <c r="AU24" s="63"/>
      <c r="AV24" s="165" t="e">
        <f>WEEKDAY([17]!Sheet_1_Table_1_13[[#This Row],[Lesson 3
Date 
(DD-MMM-YYYY)]])</f>
        <v>#REF!</v>
      </c>
      <c r="AW24" s="65"/>
      <c r="AX24" s="66"/>
      <c r="AY24" s="67"/>
      <c r="AZ24" s="68"/>
      <c r="BA24" s="64" t="e">
        <f>WEEKDAY([17]!Sheet_1_Table_1_13[[#This Row],[Lesson 4
Date 
(DD-MMM-YYYY)]])</f>
        <v>#REF!</v>
      </c>
      <c r="BB24" s="65"/>
      <c r="BC24" s="66"/>
      <c r="BD24" s="66"/>
      <c r="BE24" s="63"/>
      <c r="BF24" s="165" t="e">
        <f>WEEKDAY([17]!Sheet_1_Table_1_13[[#This Row],[Lesson 5
Date 
(DD-MMM-YYYY)]])</f>
        <v>#REF!</v>
      </c>
      <c r="BG24" s="65"/>
      <c r="BH24" s="66"/>
      <c r="BI24" s="67"/>
      <c r="BJ24" s="68"/>
      <c r="BK24" s="165" t="e">
        <f>WEEKDAY([17]!Sheet_1_Table_1_13[[#This Row],[Lesson 6
Date 
(DD-MMM-YYYY)]])</f>
        <v>#REF!</v>
      </c>
      <c r="BL24" s="65"/>
      <c r="BM24" s="66"/>
      <c r="BN24" s="66"/>
      <c r="BO24" s="54"/>
      <c r="BP24" s="69" t="s">
        <v>1775</v>
      </c>
      <c r="BQ24" s="69"/>
      <c r="BR24" s="57" t="s">
        <v>1776</v>
      </c>
      <c r="BS24" s="52"/>
      <c r="BT24" s="56"/>
      <c r="BU24" s="56"/>
      <c r="BV24" s="70"/>
      <c r="BW24" s="60"/>
      <c r="BX24" s="71"/>
      <c r="BY24" s="56" t="s">
        <v>184</v>
      </c>
      <c r="BZ24" s="56"/>
      <c r="CA24" s="56" t="s">
        <v>1735</v>
      </c>
      <c r="CB24" s="72"/>
      <c r="CC24" s="72"/>
      <c r="CD24" s="71"/>
      <c r="CE24" s="60" t="s">
        <v>1736</v>
      </c>
      <c r="CF24" s="71" t="s">
        <v>1737</v>
      </c>
      <c r="CG24" s="56"/>
      <c r="CH24" s="57"/>
      <c r="CI24" s="52" t="s">
        <v>146</v>
      </c>
      <c r="CJ24" s="52" t="s">
        <v>142</v>
      </c>
      <c r="CK24" s="52" t="s">
        <v>142</v>
      </c>
      <c r="CL24" s="52" t="s">
        <v>142</v>
      </c>
      <c r="CM24" s="52" t="s">
        <v>142</v>
      </c>
      <c r="CN24" s="52" t="s">
        <v>142</v>
      </c>
      <c r="CO24" s="52" t="s">
        <v>142</v>
      </c>
      <c r="CP24" s="52" t="s">
        <v>142</v>
      </c>
      <c r="CQ24" s="52" t="s">
        <v>142</v>
      </c>
      <c r="CR24" s="52" t="s">
        <v>142</v>
      </c>
      <c r="CS24" s="52" t="s">
        <v>142</v>
      </c>
      <c r="CT24" s="52" t="s">
        <v>142</v>
      </c>
      <c r="CU24" s="52" t="s">
        <v>146</v>
      </c>
      <c r="CV24" s="52" t="s">
        <v>142</v>
      </c>
      <c r="CW24" s="52" t="s">
        <v>142</v>
      </c>
      <c r="CX24" s="52" t="s">
        <v>142</v>
      </c>
      <c r="CY24" s="52" t="s">
        <v>142</v>
      </c>
      <c r="CZ24" s="59" t="s">
        <v>142</v>
      </c>
      <c r="DA24" s="59"/>
      <c r="DB24" s="50"/>
      <c r="DC24" s="50"/>
      <c r="DD24" s="50"/>
      <c r="DE24" s="50"/>
      <c r="DF24" s="50"/>
      <c r="DG24" s="73"/>
      <c r="DH24" s="73"/>
      <c r="DI24" s="74"/>
      <c r="DJ24" s="75"/>
      <c r="DK24" s="76" t="s">
        <v>146</v>
      </c>
      <c r="DL24" s="76" t="s">
        <v>146</v>
      </c>
      <c r="DM24" s="76" t="s">
        <v>146</v>
      </c>
      <c r="DN24" s="790"/>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23</v>
      </c>
      <c r="B25" s="49">
        <v>202609</v>
      </c>
      <c r="C25" s="50" t="s">
        <v>1777</v>
      </c>
      <c r="D25" s="50" t="s">
        <v>174</v>
      </c>
      <c r="E25" s="51">
        <v>5860</v>
      </c>
      <c r="F25" s="52" t="s">
        <v>1712</v>
      </c>
      <c r="G25" s="53" t="s">
        <v>1713</v>
      </c>
      <c r="H25" s="80" t="s">
        <v>1714</v>
      </c>
      <c r="I25" s="290" t="s">
        <v>1715</v>
      </c>
      <c r="J25" s="60" t="s">
        <v>1778</v>
      </c>
      <c r="K25" s="55" t="s">
        <v>1779</v>
      </c>
      <c r="L25" s="55" t="s">
        <v>1780</v>
      </c>
      <c r="M25" s="56" t="s">
        <v>1781</v>
      </c>
      <c r="N25" s="57" t="s">
        <v>1774</v>
      </c>
      <c r="O25" s="78" t="s">
        <v>146</v>
      </c>
      <c r="P25" s="59" t="s">
        <v>146</v>
      </c>
      <c r="Q25" s="60" t="s">
        <v>1600</v>
      </c>
      <c r="R25" s="61" t="s">
        <v>1601</v>
      </c>
      <c r="S25" s="55">
        <v>0</v>
      </c>
      <c r="T25" s="55">
        <v>0</v>
      </c>
      <c r="U25" s="55">
        <v>0</v>
      </c>
      <c r="V25" s="55">
        <v>0</v>
      </c>
      <c r="W25" s="55">
        <v>0</v>
      </c>
      <c r="X25" s="55">
        <v>50</v>
      </c>
      <c r="Y25" s="55">
        <v>50</v>
      </c>
      <c r="Z25" s="55">
        <v>0</v>
      </c>
      <c r="AA25" s="55">
        <v>0</v>
      </c>
      <c r="AB25" s="53">
        <v>100</v>
      </c>
      <c r="AC25" s="52" t="s">
        <v>199</v>
      </c>
      <c r="AD25" s="55" t="s">
        <v>190</v>
      </c>
      <c r="AE25" s="55" t="s">
        <v>142</v>
      </c>
      <c r="AF25" s="55" t="s">
        <v>146</v>
      </c>
      <c r="AG25" s="55" t="s">
        <v>146</v>
      </c>
      <c r="AH25" s="55">
        <v>1</v>
      </c>
      <c r="AI25" s="55">
        <v>15</v>
      </c>
      <c r="AJ25" s="62">
        <f>SUM(Sheet_1_Table_1_136[[#This Row],[ILP Units Per Session]]*Sheet_1_Table_1_136[[#This Row],[Quota]])</f>
        <v>15</v>
      </c>
      <c r="AK25" s="63">
        <v>46302</v>
      </c>
      <c r="AL25" s="64" t="str">
        <f>TEXT(Sheet_1_Table_1_136[[#This Row],[Lesson 1 
Date 
(DD-MMM-YYYY)]], "ddd")</f>
        <v>Wed</v>
      </c>
      <c r="AM25" s="65">
        <v>0.85416666666666663</v>
      </c>
      <c r="AN25" s="66">
        <v>0.89583333333333337</v>
      </c>
      <c r="AO25" s="67" t="s">
        <v>1720</v>
      </c>
      <c r="AP25" s="68"/>
      <c r="AQ25" s="64" t="e">
        <f>WEEKDAY([17]!Sheet_1_Table_1_13[[#This Row],[Lesson 2
Date 
(DD-MMM-YYYY)]])</f>
        <v>#REF!</v>
      </c>
      <c r="AR25" s="65"/>
      <c r="AS25" s="66"/>
      <c r="AT25" s="66"/>
      <c r="AU25" s="63"/>
      <c r="AV25" s="165" t="e">
        <f>WEEKDAY([17]!Sheet_1_Table_1_13[[#This Row],[Lesson 3
Date 
(DD-MMM-YYYY)]])</f>
        <v>#REF!</v>
      </c>
      <c r="AW25" s="65"/>
      <c r="AX25" s="66"/>
      <c r="AY25" s="67"/>
      <c r="AZ25" s="68"/>
      <c r="BA25" s="64" t="e">
        <f>WEEKDAY([17]!Sheet_1_Table_1_13[[#This Row],[Lesson 4
Date 
(DD-MMM-YYYY)]])</f>
        <v>#REF!</v>
      </c>
      <c r="BB25" s="65"/>
      <c r="BC25" s="66"/>
      <c r="BD25" s="66"/>
      <c r="BE25" s="63"/>
      <c r="BF25" s="165" t="e">
        <f>WEEKDAY([17]!Sheet_1_Table_1_13[[#This Row],[Lesson 5
Date 
(DD-MMM-YYYY)]])</f>
        <v>#REF!</v>
      </c>
      <c r="BG25" s="65"/>
      <c r="BH25" s="66"/>
      <c r="BI25" s="67"/>
      <c r="BJ25" s="68"/>
      <c r="BK25" s="165" t="e">
        <f>WEEKDAY([17]!Sheet_1_Table_1_13[[#This Row],[Lesson 6
Date 
(DD-MMM-YYYY)]])</f>
        <v>#REF!</v>
      </c>
      <c r="BL25" s="65"/>
      <c r="BM25" s="66"/>
      <c r="BN25" s="66"/>
      <c r="BO25" s="54"/>
      <c r="BP25" s="69" t="s">
        <v>1775</v>
      </c>
      <c r="BQ25" s="55"/>
      <c r="BR25" s="57" t="s">
        <v>1776</v>
      </c>
      <c r="BS25" s="52"/>
      <c r="BT25" s="56"/>
      <c r="BU25" s="56"/>
      <c r="BV25" s="70"/>
      <c r="BW25" s="60"/>
      <c r="BX25" s="71"/>
      <c r="BY25" s="56" t="s">
        <v>149</v>
      </c>
      <c r="BZ25" s="56"/>
      <c r="CA25" s="56" t="s">
        <v>1751</v>
      </c>
      <c r="CB25" s="72"/>
      <c r="CC25" s="72"/>
      <c r="CD25" s="71"/>
      <c r="CE25" s="214" t="s">
        <v>1736</v>
      </c>
      <c r="CF25" s="213" t="s">
        <v>1737</v>
      </c>
      <c r="CG25" s="56"/>
      <c r="CH25" s="57"/>
      <c r="CI25" s="52" t="s">
        <v>146</v>
      </c>
      <c r="CJ25" s="52" t="s">
        <v>142</v>
      </c>
      <c r="CK25" s="52" t="s">
        <v>142</v>
      </c>
      <c r="CL25" s="52" t="s">
        <v>142</v>
      </c>
      <c r="CM25" s="52" t="s">
        <v>142</v>
      </c>
      <c r="CN25" s="52" t="s">
        <v>142</v>
      </c>
      <c r="CO25" s="52" t="s">
        <v>142</v>
      </c>
      <c r="CP25" s="52" t="s">
        <v>142</v>
      </c>
      <c r="CQ25" s="52" t="s">
        <v>142</v>
      </c>
      <c r="CR25" s="52" t="s">
        <v>142</v>
      </c>
      <c r="CS25" s="52" t="s">
        <v>142</v>
      </c>
      <c r="CT25" s="52" t="s">
        <v>142</v>
      </c>
      <c r="CU25" s="52" t="s">
        <v>146</v>
      </c>
      <c r="CV25" s="52" t="s">
        <v>142</v>
      </c>
      <c r="CW25" s="52" t="s">
        <v>142</v>
      </c>
      <c r="CX25" s="52" t="s">
        <v>142</v>
      </c>
      <c r="CY25" s="52" t="s">
        <v>142</v>
      </c>
      <c r="CZ25" s="59" t="s">
        <v>142</v>
      </c>
      <c r="DA25" s="59"/>
      <c r="DB25" s="50"/>
      <c r="DC25" s="50"/>
      <c r="DD25" s="50"/>
      <c r="DE25" s="50"/>
      <c r="DF25" s="50"/>
      <c r="DG25" s="73"/>
      <c r="DH25" s="73"/>
      <c r="DI25" s="74"/>
      <c r="DJ25" s="75"/>
      <c r="DK25" s="76" t="s">
        <v>146</v>
      </c>
      <c r="DL25" s="76" t="s">
        <v>146</v>
      </c>
      <c r="DM25" s="76" t="s">
        <v>146</v>
      </c>
      <c r="DN25" s="790"/>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24</v>
      </c>
      <c r="B26" s="49">
        <v>202609</v>
      </c>
      <c r="C26" s="50" t="s">
        <v>1769</v>
      </c>
      <c r="D26" s="50" t="s">
        <v>174</v>
      </c>
      <c r="E26" s="51">
        <v>5861</v>
      </c>
      <c r="F26" s="52" t="s">
        <v>1712</v>
      </c>
      <c r="G26" s="53" t="s">
        <v>1713</v>
      </c>
      <c r="H26" s="80" t="s">
        <v>1714</v>
      </c>
      <c r="I26" s="290" t="s">
        <v>1715</v>
      </c>
      <c r="J26" s="451" t="s">
        <v>1782</v>
      </c>
      <c r="K26" s="447" t="s">
        <v>1783</v>
      </c>
      <c r="L26" s="55"/>
      <c r="M26" s="452" t="s">
        <v>1784</v>
      </c>
      <c r="N26" s="448" t="s">
        <v>1785</v>
      </c>
      <c r="O26" s="78" t="s">
        <v>146</v>
      </c>
      <c r="P26" s="59" t="s">
        <v>146</v>
      </c>
      <c r="Q26" s="60" t="s">
        <v>1600</v>
      </c>
      <c r="R26" s="61" t="s">
        <v>1601</v>
      </c>
      <c r="S26" s="55">
        <v>0</v>
      </c>
      <c r="T26" s="55">
        <v>0</v>
      </c>
      <c r="U26" s="55">
        <v>100</v>
      </c>
      <c r="V26" s="55">
        <v>0</v>
      </c>
      <c r="W26" s="55">
        <v>0</v>
      </c>
      <c r="X26" s="55">
        <v>0</v>
      </c>
      <c r="Y26" s="55">
        <v>0</v>
      </c>
      <c r="Z26" s="55">
        <v>0</v>
      </c>
      <c r="AA26" s="55">
        <v>0</v>
      </c>
      <c r="AB26" s="53">
        <v>100</v>
      </c>
      <c r="AC26" s="52" t="s">
        <v>199</v>
      </c>
      <c r="AD26" s="55" t="s">
        <v>190</v>
      </c>
      <c r="AE26" s="55" t="s">
        <v>146</v>
      </c>
      <c r="AF26" s="55" t="s">
        <v>146</v>
      </c>
      <c r="AG26" s="55" t="s">
        <v>146</v>
      </c>
      <c r="AH26" s="447">
        <v>1</v>
      </c>
      <c r="AI26" s="447">
        <v>20</v>
      </c>
      <c r="AJ26" s="62">
        <f>SUM(Sheet_1_Table_1_136[[#This Row],[ILP Units Per Session]]*Sheet_1_Table_1_136[[#This Row],[Quota]])</f>
        <v>20</v>
      </c>
      <c r="AK26" s="63">
        <v>46303</v>
      </c>
      <c r="AL26" s="64" t="str">
        <f>TEXT(Sheet_1_Table_1_136[[#This Row],[Lesson 1 
Date 
(DD-MMM-YYYY)]], "ddd")</f>
        <v>Thu</v>
      </c>
      <c r="AM26" s="453">
        <v>0.75</v>
      </c>
      <c r="AN26" s="454">
        <v>0.79166666666666696</v>
      </c>
      <c r="AO26" s="67" t="s">
        <v>1720</v>
      </c>
      <c r="AP26" s="68"/>
      <c r="AQ26" s="64" t="e">
        <f>WEEKDAY([17]!Sheet_1_Table_1_13[[#This Row],[Lesson 2
Date 
(DD-MMM-YYYY)]])</f>
        <v>#REF!</v>
      </c>
      <c r="AR26" s="65"/>
      <c r="AS26" s="66"/>
      <c r="AT26" s="66"/>
      <c r="AU26" s="63"/>
      <c r="AV26" s="165" t="e">
        <f>WEEKDAY([17]!Sheet_1_Table_1_13[[#This Row],[Lesson 3
Date 
(DD-MMM-YYYY)]])</f>
        <v>#REF!</v>
      </c>
      <c r="AW26" s="65"/>
      <c r="AX26" s="66"/>
      <c r="AY26" s="67"/>
      <c r="AZ26" s="68"/>
      <c r="BA26" s="64" t="e">
        <f>WEEKDAY([17]!Sheet_1_Table_1_13[[#This Row],[Lesson 4
Date 
(DD-MMM-YYYY)]])</f>
        <v>#REF!</v>
      </c>
      <c r="BB26" s="65"/>
      <c r="BC26" s="66"/>
      <c r="BD26" s="66"/>
      <c r="BE26" s="63"/>
      <c r="BF26" s="165" t="e">
        <f>WEEKDAY([17]!Sheet_1_Table_1_13[[#This Row],[Lesson 5
Date 
(DD-MMM-YYYY)]])</f>
        <v>#REF!</v>
      </c>
      <c r="BG26" s="65"/>
      <c r="BH26" s="66"/>
      <c r="BI26" s="67"/>
      <c r="BJ26" s="68"/>
      <c r="BK26" s="165" t="e">
        <f>WEEKDAY([17]!Sheet_1_Table_1_13[[#This Row],[Lesson 6
Date 
(DD-MMM-YYYY)]])</f>
        <v>#REF!</v>
      </c>
      <c r="BL26" s="65"/>
      <c r="BM26" s="66"/>
      <c r="BN26" s="66"/>
      <c r="BO26" s="455" t="s">
        <v>163</v>
      </c>
      <c r="BP26" s="456" t="s">
        <v>1786</v>
      </c>
      <c r="BQ26" s="447" t="s">
        <v>1787</v>
      </c>
      <c r="BR26" s="448" t="s">
        <v>1750</v>
      </c>
      <c r="BS26" s="52"/>
      <c r="BT26" s="56"/>
      <c r="BU26" s="56"/>
      <c r="BV26" s="70"/>
      <c r="BW26" s="60"/>
      <c r="BX26" s="71"/>
      <c r="BY26" s="56"/>
      <c r="BZ26" s="56"/>
      <c r="CA26" s="452" t="s">
        <v>1788</v>
      </c>
      <c r="CB26" s="72"/>
      <c r="CC26" s="72"/>
      <c r="CD26" s="71"/>
      <c r="CE26" s="457" t="s">
        <v>1789</v>
      </c>
      <c r="CF26" s="458" t="s">
        <v>1790</v>
      </c>
      <c r="CG26" s="56"/>
      <c r="CH26" s="57"/>
      <c r="CI26" s="459" t="s">
        <v>146</v>
      </c>
      <c r="CJ26" s="459" t="s">
        <v>142</v>
      </c>
      <c r="CK26" s="459" t="s">
        <v>142</v>
      </c>
      <c r="CL26" s="459" t="s">
        <v>146</v>
      </c>
      <c r="CM26" s="459" t="s">
        <v>142</v>
      </c>
      <c r="CN26" s="459" t="s">
        <v>142</v>
      </c>
      <c r="CO26" s="459" t="s">
        <v>142</v>
      </c>
      <c r="CP26" s="459" t="s">
        <v>142</v>
      </c>
      <c r="CQ26" s="459" t="s">
        <v>142</v>
      </c>
      <c r="CR26" s="459" t="s">
        <v>142</v>
      </c>
      <c r="CS26" s="459" t="s">
        <v>142</v>
      </c>
      <c r="CT26" s="459" t="s">
        <v>142</v>
      </c>
      <c r="CU26" s="459" t="s">
        <v>142</v>
      </c>
      <c r="CV26" s="459" t="s">
        <v>142</v>
      </c>
      <c r="CW26" s="459" t="s">
        <v>142</v>
      </c>
      <c r="CX26" s="459" t="s">
        <v>142</v>
      </c>
      <c r="CY26" s="459" t="s">
        <v>142</v>
      </c>
      <c r="CZ26" s="460" t="s">
        <v>142</v>
      </c>
      <c r="DA26" s="460"/>
      <c r="DB26" s="50"/>
      <c r="DC26" s="50"/>
      <c r="DD26" s="50"/>
      <c r="DE26" s="50"/>
      <c r="DF26" s="50"/>
      <c r="DG26" s="73"/>
      <c r="DH26" s="73"/>
      <c r="DI26" s="74"/>
      <c r="DJ26" s="75"/>
      <c r="DK26" s="76" t="s">
        <v>146</v>
      </c>
      <c r="DL26" s="76" t="s">
        <v>146</v>
      </c>
      <c r="DM26" s="76" t="s">
        <v>146</v>
      </c>
      <c r="DN26" s="790"/>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25</v>
      </c>
      <c r="B27" s="49">
        <v>202609</v>
      </c>
      <c r="C27" s="50" t="s">
        <v>1791</v>
      </c>
      <c r="D27" s="50" t="s">
        <v>251</v>
      </c>
      <c r="E27" s="51">
        <v>5862</v>
      </c>
      <c r="F27" s="461" t="s">
        <v>1792</v>
      </c>
      <c r="G27" s="462" t="s">
        <v>1713</v>
      </c>
      <c r="H27" s="191" t="s">
        <v>1793</v>
      </c>
      <c r="I27" s="199" t="s">
        <v>1794</v>
      </c>
      <c r="J27" s="60" t="s">
        <v>1795</v>
      </c>
      <c r="K27" s="55" t="s">
        <v>1796</v>
      </c>
      <c r="L27" s="55"/>
      <c r="M27" s="56" t="s">
        <v>1797</v>
      </c>
      <c r="N27" s="57" t="s">
        <v>1798</v>
      </c>
      <c r="O27" s="58" t="s">
        <v>146</v>
      </c>
      <c r="P27" s="59" t="s">
        <v>146</v>
      </c>
      <c r="Q27" s="214" t="s">
        <v>1600</v>
      </c>
      <c r="R27" s="61" t="s">
        <v>1601</v>
      </c>
      <c r="S27" s="55">
        <v>20</v>
      </c>
      <c r="T27" s="55">
        <v>0</v>
      </c>
      <c r="U27" s="55">
        <v>0</v>
      </c>
      <c r="V27" s="55">
        <v>0</v>
      </c>
      <c r="W27" s="55">
        <v>40</v>
      </c>
      <c r="X27" s="55">
        <v>0</v>
      </c>
      <c r="Y27" s="55">
        <v>0</v>
      </c>
      <c r="Z27" s="55">
        <v>0</v>
      </c>
      <c r="AA27" s="55">
        <v>40</v>
      </c>
      <c r="AB27" s="53">
        <v>100</v>
      </c>
      <c r="AC27" s="52" t="s">
        <v>144</v>
      </c>
      <c r="AD27" s="55" t="s">
        <v>386</v>
      </c>
      <c r="AE27" s="55" t="s">
        <v>142</v>
      </c>
      <c r="AF27" s="55" t="s">
        <v>146</v>
      </c>
      <c r="AG27" s="55" t="s">
        <v>142</v>
      </c>
      <c r="AH27" s="55">
        <v>1</v>
      </c>
      <c r="AI27" s="55">
        <v>60</v>
      </c>
      <c r="AJ27" s="62">
        <f>SUM(Sheet_1_Table_1_136[[#This Row],[ILP Units Per Session]]*Sheet_1_Table_1_136[[#This Row],[Quota]])</f>
        <v>60</v>
      </c>
      <c r="AK27" s="63">
        <v>46293</v>
      </c>
      <c r="AL27" s="64" t="str">
        <f>TEXT(Sheet_1_Table_1_136[[#This Row],[Lesson 1 
Date 
(DD-MMM-YYYY)]], "ddd")</f>
        <v>Mon</v>
      </c>
      <c r="AM27" s="65">
        <v>0.66666666666666663</v>
      </c>
      <c r="AN27" s="66">
        <v>0.70833333333333337</v>
      </c>
      <c r="AO27" s="67" t="s">
        <v>182</v>
      </c>
      <c r="AP27" s="68"/>
      <c r="AQ27" s="64" t="e">
        <f>WEEKDAY([18]!Sheet_1_Table_1_13[[#This Row],[Lesson 2
Date 
(DD-MMM-YYYY)]])</f>
        <v>#REF!</v>
      </c>
      <c r="AR27" s="65"/>
      <c r="AS27" s="66"/>
      <c r="AT27" s="66"/>
      <c r="AU27" s="63"/>
      <c r="AV27" s="64" t="e">
        <f>WEEKDAY([18]!Sheet_1_Table_1_13[[#This Row],[Lesson 3
Date 
(DD-MMM-YYYY)]])</f>
        <v>#REF!</v>
      </c>
      <c r="AW27" s="65"/>
      <c r="AX27" s="66"/>
      <c r="AY27" s="67"/>
      <c r="AZ27" s="68"/>
      <c r="BA27" s="64" t="e">
        <f>WEEKDAY([18]!Sheet_1_Table_1_13[[#This Row],[Lesson 4
Date 
(DD-MMM-YYYY)]])</f>
        <v>#REF!</v>
      </c>
      <c r="BB27" s="65"/>
      <c r="BC27" s="66"/>
      <c r="BD27" s="66"/>
      <c r="BE27" s="63"/>
      <c r="BF27" s="64" t="e">
        <f>WEEKDAY([18]!Sheet_1_Table_1_13[[#This Row],[Lesson 5
Date 
(DD-MMM-YYYY)]])</f>
        <v>#REF!</v>
      </c>
      <c r="BG27" s="65"/>
      <c r="BH27" s="66"/>
      <c r="BI27" s="67"/>
      <c r="BJ27" s="68"/>
      <c r="BK27" s="64" t="e">
        <f>WEEKDAY([18]!Sheet_1_Table_1_13[[#This Row],[Lesson 6
Date 
(DD-MMM-YYYY)]])</f>
        <v>#REF!</v>
      </c>
      <c r="BL27" s="65"/>
      <c r="BM27" s="66"/>
      <c r="BN27" s="66"/>
      <c r="BO27" s="54"/>
      <c r="BP27" s="69" t="s">
        <v>1799</v>
      </c>
      <c r="BQ27" s="55"/>
      <c r="BR27" s="57" t="s">
        <v>184</v>
      </c>
      <c r="BS27" s="52"/>
      <c r="BT27" s="56"/>
      <c r="BU27" s="56"/>
      <c r="BV27" s="70"/>
      <c r="BW27" s="60"/>
      <c r="BX27" s="71"/>
      <c r="BY27" s="56" t="s">
        <v>149</v>
      </c>
      <c r="BZ27" s="56"/>
      <c r="CA27" s="55" t="s">
        <v>1735</v>
      </c>
      <c r="CB27" s="72"/>
      <c r="CC27" s="72"/>
      <c r="CD27" s="71"/>
      <c r="CE27" s="463" t="s">
        <v>1800</v>
      </c>
      <c r="CF27" s="164" t="s">
        <v>1801</v>
      </c>
      <c r="CG27" s="56"/>
      <c r="CH27" s="57"/>
      <c r="CI27" s="52" t="s">
        <v>146</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N27" s="790"/>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26</v>
      </c>
      <c r="B28" s="49">
        <v>202609</v>
      </c>
      <c r="C28" s="197" t="s">
        <v>1802</v>
      </c>
      <c r="D28" s="197" t="s">
        <v>174</v>
      </c>
      <c r="E28" s="198">
        <v>5863</v>
      </c>
      <c r="F28" s="461" t="s">
        <v>1792</v>
      </c>
      <c r="G28" s="462" t="s">
        <v>1713</v>
      </c>
      <c r="H28" s="191" t="s">
        <v>1793</v>
      </c>
      <c r="I28" s="199" t="s">
        <v>1794</v>
      </c>
      <c r="J28" s="214" t="s">
        <v>1803</v>
      </c>
      <c r="K28" s="55" t="s">
        <v>1804</v>
      </c>
      <c r="L28" s="55"/>
      <c r="M28" s="56" t="s">
        <v>1805</v>
      </c>
      <c r="N28" s="211" t="s">
        <v>1806</v>
      </c>
      <c r="O28" s="58" t="s">
        <v>146</v>
      </c>
      <c r="P28" s="450" t="s">
        <v>146</v>
      </c>
      <c r="Q28" s="214" t="s">
        <v>1600</v>
      </c>
      <c r="R28" s="61" t="s">
        <v>1601</v>
      </c>
      <c r="S28" s="55">
        <v>0</v>
      </c>
      <c r="T28" s="55">
        <v>0</v>
      </c>
      <c r="U28" s="55">
        <v>0</v>
      </c>
      <c r="V28" s="55">
        <v>0</v>
      </c>
      <c r="W28" s="55">
        <v>0</v>
      </c>
      <c r="X28" s="55">
        <v>100</v>
      </c>
      <c r="Y28" s="55">
        <v>0</v>
      </c>
      <c r="Z28" s="55">
        <v>0</v>
      </c>
      <c r="AA28" s="55">
        <v>0</v>
      </c>
      <c r="AB28" s="53">
        <v>100</v>
      </c>
      <c r="AC28" s="52" t="s">
        <v>144</v>
      </c>
      <c r="AD28" s="201" t="s">
        <v>190</v>
      </c>
      <c r="AE28" s="201" t="s">
        <v>142</v>
      </c>
      <c r="AF28" s="201" t="s">
        <v>146</v>
      </c>
      <c r="AG28" s="201" t="s">
        <v>146</v>
      </c>
      <c r="AH28" s="201">
        <v>1</v>
      </c>
      <c r="AI28" s="55">
        <v>25</v>
      </c>
      <c r="AJ28" s="62">
        <f>SUM(Sheet_1_Table_1_136[[#This Row],[ILP Units Per Session]]*Sheet_1_Table_1_136[[#This Row],[Quota]])</f>
        <v>25</v>
      </c>
      <c r="AK28" s="203">
        <v>46301</v>
      </c>
      <c r="AL28" s="64" t="str">
        <f>TEXT(Sheet_1_Table_1_136[[#This Row],[Lesson 1 
Date 
(DD-MMM-YYYY)]], "ddd")</f>
        <v>Tue</v>
      </c>
      <c r="AM28" s="204">
        <v>0.8125</v>
      </c>
      <c r="AN28" s="205">
        <v>0.85416666666666663</v>
      </c>
      <c r="AO28" s="207" t="s">
        <v>1807</v>
      </c>
      <c r="AP28" s="68"/>
      <c r="AQ28" s="64" t="e">
        <f>WEEKDAY([18]!Sheet_1_Table_1_13[[#This Row],[Lesson 2
Date 
(DD-MMM-YYYY)]])</f>
        <v>#REF!</v>
      </c>
      <c r="AR28" s="65"/>
      <c r="AS28" s="66"/>
      <c r="AT28" s="66"/>
      <c r="AU28" s="203"/>
      <c r="AV28" s="165" t="e">
        <f>WEEKDAY([18]!Sheet_1_Table_1_13[[#This Row],[Lesson 3
Date 
(DD-MMM-YYYY)]])</f>
        <v>#REF!</v>
      </c>
      <c r="AW28" s="204"/>
      <c r="AX28" s="205"/>
      <c r="AY28" s="207"/>
      <c r="AZ28" s="68"/>
      <c r="BA28" s="64" t="e">
        <f>WEEKDAY([18]!Sheet_1_Table_1_13[[#This Row],[Lesson 4
Date 
(DD-MMM-YYYY)]])</f>
        <v>#REF!</v>
      </c>
      <c r="BB28" s="65"/>
      <c r="BC28" s="66"/>
      <c r="BD28" s="66"/>
      <c r="BE28" s="203"/>
      <c r="BF28" s="165" t="e">
        <f>WEEKDAY([18]!Sheet_1_Table_1_13[[#This Row],[Lesson 5
Date 
(DD-MMM-YYYY)]])</f>
        <v>#REF!</v>
      </c>
      <c r="BG28" s="204"/>
      <c r="BH28" s="205"/>
      <c r="BI28" s="207"/>
      <c r="BJ28" s="68"/>
      <c r="BK28" s="165" t="e">
        <f>WEEKDAY([18]!Sheet_1_Table_1_13[[#This Row],[Lesson 6
Date 
(DD-MMM-YYYY)]])</f>
        <v>#REF!</v>
      </c>
      <c r="BL28" s="204"/>
      <c r="BM28" s="205"/>
      <c r="BN28" s="205"/>
      <c r="BO28" s="208" t="s">
        <v>293</v>
      </c>
      <c r="BP28" s="209" t="s">
        <v>1808</v>
      </c>
      <c r="BQ28" s="201" t="s">
        <v>1809</v>
      </c>
      <c r="BR28" s="211" t="s">
        <v>1810</v>
      </c>
      <c r="BS28" s="52"/>
      <c r="BT28" s="209"/>
      <c r="BU28" s="201"/>
      <c r="BV28" s="70"/>
      <c r="BW28" s="60"/>
      <c r="BX28" s="71"/>
      <c r="BY28" s="210" t="s">
        <v>149</v>
      </c>
      <c r="BZ28" s="210"/>
      <c r="CA28" s="55" t="s">
        <v>1811</v>
      </c>
      <c r="CB28" s="212"/>
      <c r="CC28" s="212"/>
      <c r="CD28" s="213"/>
      <c r="CE28" s="214" t="s">
        <v>1812</v>
      </c>
      <c r="CF28" s="464" t="s">
        <v>1813</v>
      </c>
      <c r="CG28" s="56"/>
      <c r="CH28" s="57"/>
      <c r="CI28" s="215" t="s">
        <v>142</v>
      </c>
      <c r="CJ28" s="52" t="s">
        <v>142</v>
      </c>
      <c r="CK28" s="52" t="s">
        <v>142</v>
      </c>
      <c r="CL28" s="52" t="s">
        <v>142</v>
      </c>
      <c r="CM28" s="52" t="s">
        <v>142</v>
      </c>
      <c r="CN28" s="52" t="s">
        <v>142</v>
      </c>
      <c r="CO28" s="52" t="s">
        <v>142</v>
      </c>
      <c r="CP28" s="52" t="s">
        <v>142</v>
      </c>
      <c r="CQ28" s="52" t="s">
        <v>142</v>
      </c>
      <c r="CR28" s="52" t="s">
        <v>146</v>
      </c>
      <c r="CS28" s="52" t="s">
        <v>142</v>
      </c>
      <c r="CT28" s="52" t="s">
        <v>146</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N28" s="790"/>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27</v>
      </c>
      <c r="B29" s="49">
        <v>202609</v>
      </c>
      <c r="C29" s="50" t="s">
        <v>1814</v>
      </c>
      <c r="D29" s="197" t="s">
        <v>174</v>
      </c>
      <c r="E29" s="198">
        <v>5864</v>
      </c>
      <c r="F29" s="461" t="s">
        <v>1792</v>
      </c>
      <c r="G29" s="462" t="s">
        <v>1713</v>
      </c>
      <c r="H29" s="191" t="s">
        <v>1793</v>
      </c>
      <c r="I29" s="199" t="s">
        <v>1794</v>
      </c>
      <c r="J29" s="214" t="s">
        <v>1815</v>
      </c>
      <c r="K29" s="55" t="s">
        <v>1816</v>
      </c>
      <c r="L29" s="55"/>
      <c r="M29" s="56" t="s">
        <v>1817</v>
      </c>
      <c r="N29" s="211" t="s">
        <v>1818</v>
      </c>
      <c r="O29" s="58" t="s">
        <v>146</v>
      </c>
      <c r="P29" s="450" t="s">
        <v>146</v>
      </c>
      <c r="Q29" s="214" t="s">
        <v>1600</v>
      </c>
      <c r="R29" s="61" t="s">
        <v>1601</v>
      </c>
      <c r="S29" s="55">
        <v>40</v>
      </c>
      <c r="T29" s="55">
        <v>0</v>
      </c>
      <c r="U29" s="55">
        <v>0</v>
      </c>
      <c r="V29" s="55">
        <v>0</v>
      </c>
      <c r="W29" s="55">
        <v>0</v>
      </c>
      <c r="X29" s="55">
        <v>0</v>
      </c>
      <c r="Y29" s="55">
        <v>0</v>
      </c>
      <c r="Z29" s="55">
        <v>0</v>
      </c>
      <c r="AA29" s="55">
        <v>60</v>
      </c>
      <c r="AB29" s="53">
        <v>100</v>
      </c>
      <c r="AC29" s="52" t="s">
        <v>199</v>
      </c>
      <c r="AD29" s="201" t="s">
        <v>190</v>
      </c>
      <c r="AE29" s="201" t="s">
        <v>146</v>
      </c>
      <c r="AF29" s="201" t="s">
        <v>146</v>
      </c>
      <c r="AG29" s="201" t="s">
        <v>142</v>
      </c>
      <c r="AH29" s="201">
        <v>1.5</v>
      </c>
      <c r="AI29" s="55">
        <v>30</v>
      </c>
      <c r="AJ29" s="62">
        <f>SUM(Sheet_1_Table_1_136[[#This Row],[ILP Units Per Session]]*Sheet_1_Table_1_136[[#This Row],[Quota]])</f>
        <v>45</v>
      </c>
      <c r="AK29" s="203">
        <v>46309</v>
      </c>
      <c r="AL29" s="64" t="str">
        <f>TEXT(Sheet_1_Table_1_136[[#This Row],[Lesson 1 
Date 
(DD-MMM-YYYY)]], "ddd")</f>
        <v>Wed</v>
      </c>
      <c r="AM29" s="204">
        <v>0.8125</v>
      </c>
      <c r="AN29" s="205">
        <v>0.875</v>
      </c>
      <c r="AO29" s="207" t="s">
        <v>1807</v>
      </c>
      <c r="AP29" s="68"/>
      <c r="AQ29" s="64" t="e">
        <f>WEEKDAY([18]!Sheet_1_Table_1_13[[#This Row],[Lesson 2
Date 
(DD-MMM-YYYY)]])</f>
        <v>#REF!</v>
      </c>
      <c r="AR29" s="65"/>
      <c r="AS29" s="66"/>
      <c r="AT29" s="66"/>
      <c r="AU29" s="203"/>
      <c r="AV29" s="165" t="e">
        <f>WEEKDAY([18]!Sheet_1_Table_1_13[[#This Row],[Lesson 3
Date 
(DD-MMM-YYYY)]])</f>
        <v>#REF!</v>
      </c>
      <c r="AW29" s="204"/>
      <c r="AX29" s="205"/>
      <c r="AY29" s="207"/>
      <c r="AZ29" s="68"/>
      <c r="BA29" s="64" t="e">
        <f>WEEKDAY([18]!Sheet_1_Table_1_13[[#This Row],[Lesson 4
Date 
(DD-MMM-YYYY)]])</f>
        <v>#REF!</v>
      </c>
      <c r="BB29" s="65"/>
      <c r="BC29" s="66"/>
      <c r="BD29" s="66"/>
      <c r="BE29" s="203"/>
      <c r="BF29" s="165" t="e">
        <f>WEEKDAY([18]!Sheet_1_Table_1_13[[#This Row],[Lesson 5
Date 
(DD-MMM-YYYY)]])</f>
        <v>#REF!</v>
      </c>
      <c r="BG29" s="204"/>
      <c r="BH29" s="205"/>
      <c r="BI29" s="207"/>
      <c r="BJ29" s="68"/>
      <c r="BK29" s="165" t="e">
        <f>WEEKDAY([18]!Sheet_1_Table_1_13[[#This Row],[Lesson 6
Date 
(DD-MMM-YYYY)]])</f>
        <v>#REF!</v>
      </c>
      <c r="BL29" s="204"/>
      <c r="BM29" s="205"/>
      <c r="BN29" s="205"/>
      <c r="BO29" s="208" t="s">
        <v>163</v>
      </c>
      <c r="BP29" s="465" t="s">
        <v>1819</v>
      </c>
      <c r="BQ29" s="466" t="s">
        <v>1820</v>
      </c>
      <c r="BR29" s="467" t="s">
        <v>1821</v>
      </c>
      <c r="BS29" s="52"/>
      <c r="BT29" s="209"/>
      <c r="BU29" s="201"/>
      <c r="BV29" s="70"/>
      <c r="BW29" s="60"/>
      <c r="BX29" s="71"/>
      <c r="BY29" s="210" t="s">
        <v>149</v>
      </c>
      <c r="BZ29" s="210"/>
      <c r="CA29" s="55" t="s">
        <v>1735</v>
      </c>
      <c r="CB29" s="212"/>
      <c r="CC29" s="212"/>
      <c r="CD29" s="213"/>
      <c r="CE29" s="468" t="s">
        <v>1822</v>
      </c>
      <c r="CF29" s="464" t="s">
        <v>1823</v>
      </c>
      <c r="CG29" s="56"/>
      <c r="CH29" s="57"/>
      <c r="CI29" s="215" t="s">
        <v>146</v>
      </c>
      <c r="CJ29" s="52" t="s">
        <v>142</v>
      </c>
      <c r="CK29" s="52" t="s">
        <v>142</v>
      </c>
      <c r="CL29" s="52" t="s">
        <v>146</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N29" s="790"/>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28</v>
      </c>
      <c r="B30" s="49">
        <v>202609</v>
      </c>
      <c r="C30" s="50" t="s">
        <v>1824</v>
      </c>
      <c r="D30" s="197" t="s">
        <v>174</v>
      </c>
      <c r="E30" s="51">
        <v>5865</v>
      </c>
      <c r="F30" s="461" t="s">
        <v>1792</v>
      </c>
      <c r="G30" s="462" t="s">
        <v>1713</v>
      </c>
      <c r="H30" s="191" t="s">
        <v>1793</v>
      </c>
      <c r="I30" s="199" t="s">
        <v>1794</v>
      </c>
      <c r="J30" s="60" t="s">
        <v>1825</v>
      </c>
      <c r="K30" s="55" t="s">
        <v>1826</v>
      </c>
      <c r="L30" s="55"/>
      <c r="M30" s="56" t="s">
        <v>1827</v>
      </c>
      <c r="N30" s="57" t="s">
        <v>1828</v>
      </c>
      <c r="O30" s="78" t="s">
        <v>146</v>
      </c>
      <c r="P30" s="59" t="s">
        <v>146</v>
      </c>
      <c r="Q30" s="60" t="s">
        <v>1600</v>
      </c>
      <c r="R30" s="61" t="s">
        <v>1601</v>
      </c>
      <c r="S30" s="55">
        <v>0</v>
      </c>
      <c r="T30" s="55">
        <v>0</v>
      </c>
      <c r="U30" s="55">
        <v>0</v>
      </c>
      <c r="V30" s="55">
        <v>0</v>
      </c>
      <c r="W30" s="55">
        <v>0</v>
      </c>
      <c r="X30" s="55">
        <v>0</v>
      </c>
      <c r="Y30" s="55">
        <v>0</v>
      </c>
      <c r="Z30" s="55">
        <v>100</v>
      </c>
      <c r="AA30" s="55">
        <v>0</v>
      </c>
      <c r="AB30" s="53">
        <v>100</v>
      </c>
      <c r="AC30" s="52" t="s">
        <v>199</v>
      </c>
      <c r="AD30" s="55" t="s">
        <v>190</v>
      </c>
      <c r="AE30" s="55" t="s">
        <v>142</v>
      </c>
      <c r="AF30" s="55" t="s">
        <v>146</v>
      </c>
      <c r="AG30" s="55" t="s">
        <v>142</v>
      </c>
      <c r="AH30" s="201">
        <v>1.5</v>
      </c>
      <c r="AI30" s="55">
        <v>10</v>
      </c>
      <c r="AJ30" s="62">
        <f>SUM(Sheet_1_Table_1_136[[#This Row],[ILP Units Per Session]]*Sheet_1_Table_1_136[[#This Row],[Quota]])</f>
        <v>15</v>
      </c>
      <c r="AK30" s="63">
        <v>46323</v>
      </c>
      <c r="AL30" s="64" t="str">
        <f>TEXT(Sheet_1_Table_1_136[[#This Row],[Lesson 1 
Date 
(DD-MMM-YYYY)]], "ddd")</f>
        <v>Wed</v>
      </c>
      <c r="AM30" s="65">
        <v>0.77083333333333337</v>
      </c>
      <c r="AN30" s="66">
        <v>0.83333333333333337</v>
      </c>
      <c r="AO30" s="207" t="s">
        <v>1807</v>
      </c>
      <c r="AP30" s="68"/>
      <c r="AQ30" s="64" t="e">
        <f>WEEKDAY([18]!Sheet_1_Table_1_13[[#This Row],[Lesson 2
Date 
(DD-MMM-YYYY)]])</f>
        <v>#REF!</v>
      </c>
      <c r="AR30" s="65"/>
      <c r="AS30" s="66"/>
      <c r="AT30" s="66"/>
      <c r="AU30" s="63"/>
      <c r="AV30" s="64" t="e">
        <f>WEEKDAY([18]!Sheet_1_Table_1_13[[#This Row],[Lesson 3
Date 
(DD-MMM-YYYY)]])</f>
        <v>#REF!</v>
      </c>
      <c r="AW30" s="65"/>
      <c r="AX30" s="66"/>
      <c r="AY30" s="67"/>
      <c r="AZ30" s="68"/>
      <c r="BA30" s="64" t="e">
        <f>WEEKDAY([18]!Sheet_1_Table_1_13[[#This Row],[Lesson 4
Date 
(DD-MMM-YYYY)]])</f>
        <v>#REF!</v>
      </c>
      <c r="BB30" s="65"/>
      <c r="BC30" s="66"/>
      <c r="BD30" s="66"/>
      <c r="BE30" s="63"/>
      <c r="BF30" s="64" t="e">
        <f>WEEKDAY([18]!Sheet_1_Table_1_13[[#This Row],[Lesson 5
Date 
(DD-MMM-YYYY)]])</f>
        <v>#REF!</v>
      </c>
      <c r="BG30" s="65"/>
      <c r="BH30" s="66"/>
      <c r="BI30" s="67"/>
      <c r="BJ30" s="68"/>
      <c r="BK30" s="64" t="e">
        <f>WEEKDAY([18]!Sheet_1_Table_1_13[[#This Row],[Lesson 6
Date 
(DD-MMM-YYYY)]])</f>
        <v>#REF!</v>
      </c>
      <c r="BL30" s="65"/>
      <c r="BM30" s="66"/>
      <c r="BN30" s="66"/>
      <c r="BO30" s="54" t="s">
        <v>293</v>
      </c>
      <c r="BP30" s="469" t="s">
        <v>1819</v>
      </c>
      <c r="BQ30" s="466" t="s">
        <v>1820</v>
      </c>
      <c r="BR30" s="467" t="s">
        <v>1821</v>
      </c>
      <c r="BS30" s="52"/>
      <c r="BT30" s="56"/>
      <c r="BU30" s="56"/>
      <c r="BV30" s="70"/>
      <c r="BW30" s="60"/>
      <c r="BX30" s="71"/>
      <c r="BY30" s="56" t="s">
        <v>184</v>
      </c>
      <c r="BZ30" s="56"/>
      <c r="CA30" s="55" t="s">
        <v>1735</v>
      </c>
      <c r="CB30" s="72"/>
      <c r="CC30" s="72"/>
      <c r="CD30" s="71"/>
      <c r="CE30" s="468" t="s">
        <v>1822</v>
      </c>
      <c r="CF30" s="464" t="s">
        <v>1823</v>
      </c>
      <c r="CG30" s="56"/>
      <c r="CH30" s="57"/>
      <c r="CI30" s="52" t="s">
        <v>146</v>
      </c>
      <c r="CJ30" s="52" t="s">
        <v>142</v>
      </c>
      <c r="CK30" s="52" t="s">
        <v>142</v>
      </c>
      <c r="CL30" s="52" t="s">
        <v>146</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N30" s="790"/>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29</v>
      </c>
      <c r="B31" s="49">
        <v>202609</v>
      </c>
      <c r="C31" s="50" t="s">
        <v>1829</v>
      </c>
      <c r="D31" s="50" t="s">
        <v>174</v>
      </c>
      <c r="E31" s="51">
        <v>5866</v>
      </c>
      <c r="F31" s="461" t="s">
        <v>1792</v>
      </c>
      <c r="G31" s="462" t="s">
        <v>1713</v>
      </c>
      <c r="H31" s="191" t="s">
        <v>1793</v>
      </c>
      <c r="I31" s="199" t="s">
        <v>1794</v>
      </c>
      <c r="J31" s="60" t="s">
        <v>1830</v>
      </c>
      <c r="K31" s="55" t="s">
        <v>1831</v>
      </c>
      <c r="L31" s="55"/>
      <c r="M31" s="56" t="s">
        <v>1832</v>
      </c>
      <c r="N31" s="57" t="s">
        <v>1833</v>
      </c>
      <c r="O31" s="78" t="s">
        <v>146</v>
      </c>
      <c r="P31" s="59" t="s">
        <v>146</v>
      </c>
      <c r="Q31" s="60" t="s">
        <v>1600</v>
      </c>
      <c r="R31" s="61" t="s">
        <v>1601</v>
      </c>
      <c r="S31" s="55">
        <v>0</v>
      </c>
      <c r="T31" s="55">
        <v>50</v>
      </c>
      <c r="U31" s="55">
        <v>0</v>
      </c>
      <c r="V31" s="55">
        <v>0</v>
      </c>
      <c r="W31" s="55">
        <v>0</v>
      </c>
      <c r="X31" s="55">
        <v>0</v>
      </c>
      <c r="Y31" s="55">
        <v>0</v>
      </c>
      <c r="Z31" s="55">
        <v>0</v>
      </c>
      <c r="AA31" s="55">
        <v>50</v>
      </c>
      <c r="AB31" s="53">
        <v>100</v>
      </c>
      <c r="AC31" s="52" t="s">
        <v>199</v>
      </c>
      <c r="AD31" s="55" t="s">
        <v>386</v>
      </c>
      <c r="AE31" s="55" t="s">
        <v>142</v>
      </c>
      <c r="AF31" s="55" t="s">
        <v>146</v>
      </c>
      <c r="AG31" s="55" t="s">
        <v>142</v>
      </c>
      <c r="AH31" s="201">
        <v>1.5</v>
      </c>
      <c r="AI31" s="55">
        <v>30</v>
      </c>
      <c r="AJ31" s="62">
        <f>SUM(Sheet_1_Table_1_136[[#This Row],[ILP Units Per Session]]*Sheet_1_Table_1_136[[#This Row],[Quota]])</f>
        <v>45</v>
      </c>
      <c r="AK31" s="63">
        <v>46325</v>
      </c>
      <c r="AL31" s="64" t="str">
        <f>TEXT(Sheet_1_Table_1_136[[#This Row],[Lesson 1 
Date 
(DD-MMM-YYYY)]], "ddd")</f>
        <v>Fri</v>
      </c>
      <c r="AM31" s="65">
        <v>0.8125</v>
      </c>
      <c r="AN31" s="66">
        <v>0.875</v>
      </c>
      <c r="AO31" s="207" t="s">
        <v>182</v>
      </c>
      <c r="AP31" s="68"/>
      <c r="AQ31" s="64" t="e">
        <f>WEEKDAY([18]!Sheet_1_Table_1_13[[#This Row],[Lesson 2
Date 
(DD-MMM-YYYY)]])</f>
        <v>#REF!</v>
      </c>
      <c r="AR31" s="65"/>
      <c r="AS31" s="66"/>
      <c r="AT31" s="66"/>
      <c r="AU31" s="63"/>
      <c r="AV31" s="64" t="e">
        <f>WEEKDAY([18]!Sheet_1_Table_1_13[[#This Row],[Lesson 3
Date 
(DD-MMM-YYYY)]])</f>
        <v>#REF!</v>
      </c>
      <c r="AW31" s="65"/>
      <c r="AX31" s="66"/>
      <c r="AY31" s="67"/>
      <c r="AZ31" s="68"/>
      <c r="BA31" s="64" t="e">
        <f>WEEKDAY([18]!Sheet_1_Table_1_13[[#This Row],[Lesson 4
Date 
(DD-MMM-YYYY)]])</f>
        <v>#REF!</v>
      </c>
      <c r="BB31" s="65"/>
      <c r="BC31" s="66"/>
      <c r="BD31" s="66"/>
      <c r="BE31" s="63"/>
      <c r="BF31" s="64" t="e">
        <f>WEEKDAY([18]!Sheet_1_Table_1_13[[#This Row],[Lesson 5
Date 
(DD-MMM-YYYY)]])</f>
        <v>#REF!</v>
      </c>
      <c r="BG31" s="65"/>
      <c r="BH31" s="66"/>
      <c r="BI31" s="67"/>
      <c r="BJ31" s="68"/>
      <c r="BK31" s="64" t="e">
        <f>WEEKDAY([18]!Sheet_1_Table_1_13[[#This Row],[Lesson 6
Date 
(DD-MMM-YYYY)]])</f>
        <v>#REF!</v>
      </c>
      <c r="BL31" s="65"/>
      <c r="BM31" s="66"/>
      <c r="BN31" s="66"/>
      <c r="BO31" s="54"/>
      <c r="BP31" s="69"/>
      <c r="BQ31" s="69"/>
      <c r="BR31" s="57"/>
      <c r="BS31" s="52"/>
      <c r="BT31" s="56"/>
      <c r="BU31" s="56"/>
      <c r="BV31" s="70"/>
      <c r="BW31" s="60"/>
      <c r="BX31" s="71"/>
      <c r="BY31" s="56" t="s">
        <v>184</v>
      </c>
      <c r="BZ31" s="56"/>
      <c r="CA31" s="55" t="s">
        <v>1735</v>
      </c>
      <c r="CB31" s="72"/>
      <c r="CC31" s="72"/>
      <c r="CD31" s="71"/>
      <c r="CE31" s="468" t="s">
        <v>1834</v>
      </c>
      <c r="CF31" s="464" t="s">
        <v>1835</v>
      </c>
      <c r="CG31" s="56"/>
      <c r="CH31" s="57"/>
      <c r="CI31" s="52" t="s">
        <v>146</v>
      </c>
      <c r="CJ31" s="52" t="s">
        <v>142</v>
      </c>
      <c r="CK31" s="52" t="s">
        <v>142</v>
      </c>
      <c r="CL31" s="52" t="s">
        <v>146</v>
      </c>
      <c r="CM31" s="52" t="s">
        <v>142</v>
      </c>
      <c r="CN31" s="52" t="s">
        <v>142</v>
      </c>
      <c r="CO31" s="52" t="s">
        <v>142</v>
      </c>
      <c r="CP31" s="52" t="s">
        <v>142</v>
      </c>
      <c r="CQ31" s="52" t="s">
        <v>142</v>
      </c>
      <c r="CR31" s="52" t="s">
        <v>142</v>
      </c>
      <c r="CS31" s="52" t="s">
        <v>142</v>
      </c>
      <c r="CT31" s="52" t="s">
        <v>146</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N31" s="790"/>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30</v>
      </c>
      <c r="B32" s="49">
        <v>202609</v>
      </c>
      <c r="C32" s="50" t="s">
        <v>1836</v>
      </c>
      <c r="D32" s="50" t="s">
        <v>205</v>
      </c>
      <c r="E32" s="51">
        <v>5868</v>
      </c>
      <c r="F32" s="461" t="s">
        <v>1792</v>
      </c>
      <c r="G32" s="462" t="s">
        <v>1713</v>
      </c>
      <c r="H32" s="191" t="s">
        <v>1793</v>
      </c>
      <c r="I32" s="199" t="s">
        <v>1794</v>
      </c>
      <c r="J32" s="60" t="s">
        <v>1837</v>
      </c>
      <c r="K32" s="55" t="s">
        <v>1838</v>
      </c>
      <c r="L32" s="55"/>
      <c r="M32" s="56" t="s">
        <v>1839</v>
      </c>
      <c r="N32" s="57" t="s">
        <v>1840</v>
      </c>
      <c r="O32" s="78" t="s">
        <v>146</v>
      </c>
      <c r="P32" s="59" t="s">
        <v>146</v>
      </c>
      <c r="Q32" s="60" t="s">
        <v>1600</v>
      </c>
      <c r="R32" s="61" t="s">
        <v>1601</v>
      </c>
      <c r="S32" s="55">
        <v>0</v>
      </c>
      <c r="T32" s="55">
        <v>50</v>
      </c>
      <c r="U32" s="55">
        <v>50</v>
      </c>
      <c r="V32" s="55">
        <v>0</v>
      </c>
      <c r="W32" s="55">
        <v>0</v>
      </c>
      <c r="X32" s="55">
        <v>0</v>
      </c>
      <c r="Y32" s="55">
        <v>0</v>
      </c>
      <c r="Z32" s="55">
        <v>0</v>
      </c>
      <c r="AA32" s="55">
        <v>0</v>
      </c>
      <c r="AB32" s="53">
        <v>100</v>
      </c>
      <c r="AC32" s="52" t="s">
        <v>199</v>
      </c>
      <c r="AD32" s="55" t="s">
        <v>190</v>
      </c>
      <c r="AE32" s="55" t="s">
        <v>142</v>
      </c>
      <c r="AF32" s="55" t="s">
        <v>146</v>
      </c>
      <c r="AG32" s="55" t="s">
        <v>142</v>
      </c>
      <c r="AH32" s="201">
        <v>3</v>
      </c>
      <c r="AI32" s="55">
        <v>20</v>
      </c>
      <c r="AJ32" s="62">
        <f>SUM(Sheet_1_Table_1_136[[#This Row],[ILP Units Per Session]]*Sheet_1_Table_1_136[[#This Row],[Quota]])</f>
        <v>60</v>
      </c>
      <c r="AK32" s="179">
        <v>46330</v>
      </c>
      <c r="AL32" s="64" t="str">
        <f>TEXT(Sheet_1_Table_1_136[[#This Row],[Lesson 1 
Date 
(DD-MMM-YYYY)]], "ddd")</f>
        <v>Wed</v>
      </c>
      <c r="AM32" s="65">
        <v>0.72916666666666663</v>
      </c>
      <c r="AN32" s="66">
        <v>0.85416666666666663</v>
      </c>
      <c r="AO32" s="67" t="s">
        <v>1807</v>
      </c>
      <c r="AP32" s="68"/>
      <c r="AQ32" s="64" t="e">
        <f>WEEKDAY([18]!Sheet_1_Table_1_13[[#This Row],[Lesson 2
Date 
(DD-MMM-YYYY)]])</f>
        <v>#REF!</v>
      </c>
      <c r="AR32" s="65"/>
      <c r="AS32" s="66"/>
      <c r="AT32" s="66"/>
      <c r="AU32" s="63"/>
      <c r="AV32" s="165" t="e">
        <f>WEEKDAY([18]!Sheet_1_Table_1_13[[#This Row],[Lesson 3
Date 
(DD-MMM-YYYY)]])</f>
        <v>#REF!</v>
      </c>
      <c r="AW32" s="65"/>
      <c r="AX32" s="66"/>
      <c r="AY32" s="67"/>
      <c r="AZ32" s="68"/>
      <c r="BA32" s="64" t="e">
        <f>WEEKDAY([18]!Sheet_1_Table_1_13[[#This Row],[Lesson 4
Date 
(DD-MMM-YYYY)]])</f>
        <v>#REF!</v>
      </c>
      <c r="BB32" s="65"/>
      <c r="BC32" s="66"/>
      <c r="BD32" s="66"/>
      <c r="BE32" s="63"/>
      <c r="BF32" s="165" t="e">
        <f>WEEKDAY([18]!Sheet_1_Table_1_13[[#This Row],[Lesson 5
Date 
(DD-MMM-YYYY)]])</f>
        <v>#REF!</v>
      </c>
      <c r="BG32" s="65"/>
      <c r="BH32" s="66"/>
      <c r="BI32" s="67"/>
      <c r="BJ32" s="68"/>
      <c r="BK32" s="165" t="e">
        <f>WEEKDAY([18]!Sheet_1_Table_1_13[[#This Row],[Lesson 6
Date 
(DD-MMM-YYYY)]])</f>
        <v>#REF!</v>
      </c>
      <c r="BL32" s="65"/>
      <c r="BM32" s="66"/>
      <c r="BN32" s="66"/>
      <c r="BO32" s="54"/>
      <c r="BP32" s="69"/>
      <c r="BQ32" s="69"/>
      <c r="BR32" s="57"/>
      <c r="BS32" s="52"/>
      <c r="BT32" s="56"/>
      <c r="BU32" s="56"/>
      <c r="BV32" s="70"/>
      <c r="BW32" s="60"/>
      <c r="BX32" s="71"/>
      <c r="BY32" s="56"/>
      <c r="BZ32" s="56"/>
      <c r="CA32" s="55" t="s">
        <v>1735</v>
      </c>
      <c r="CB32" s="72"/>
      <c r="CC32" s="72"/>
      <c r="CD32" s="71"/>
      <c r="CE32" s="463" t="s">
        <v>1822</v>
      </c>
      <c r="CF32" s="164" t="s">
        <v>1823</v>
      </c>
      <c r="CG32" s="56"/>
      <c r="CH32" s="57"/>
      <c r="CI32" s="52" t="s">
        <v>146</v>
      </c>
      <c r="CJ32" s="52" t="s">
        <v>142</v>
      </c>
      <c r="CK32" s="52" t="s">
        <v>142</v>
      </c>
      <c r="CL32" s="52" t="s">
        <v>146</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N32" s="790"/>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31</v>
      </c>
      <c r="B33" s="49">
        <v>202609</v>
      </c>
      <c r="C33" s="50" t="s">
        <v>1841</v>
      </c>
      <c r="D33" s="50" t="s">
        <v>133</v>
      </c>
      <c r="E33" s="51">
        <v>5875</v>
      </c>
      <c r="F33" s="52" t="s">
        <v>1842</v>
      </c>
      <c r="G33" s="53" t="s">
        <v>1713</v>
      </c>
      <c r="H33" s="191" t="s">
        <v>1843</v>
      </c>
      <c r="I33" s="199" t="s">
        <v>1844</v>
      </c>
      <c r="J33" s="54" t="s">
        <v>1845</v>
      </c>
      <c r="K33" s="55" t="s">
        <v>1846</v>
      </c>
      <c r="L33" s="55"/>
      <c r="M33" s="56" t="s">
        <v>1847</v>
      </c>
      <c r="N33" s="57" t="s">
        <v>1848</v>
      </c>
      <c r="O33" s="58" t="s">
        <v>142</v>
      </c>
      <c r="P33" s="59" t="s">
        <v>142</v>
      </c>
      <c r="Q33" s="60" t="s">
        <v>1600</v>
      </c>
      <c r="R33" s="61" t="s">
        <v>1601</v>
      </c>
      <c r="S33" s="55">
        <v>30</v>
      </c>
      <c r="T33" s="55">
        <v>0</v>
      </c>
      <c r="U33" s="55">
        <v>0</v>
      </c>
      <c r="V33" s="55">
        <v>0</v>
      </c>
      <c r="W33" s="55">
        <v>0</v>
      </c>
      <c r="X33" s="55">
        <v>40</v>
      </c>
      <c r="Y33" s="55">
        <v>30</v>
      </c>
      <c r="Z33" s="55">
        <v>0</v>
      </c>
      <c r="AA33" s="55">
        <v>0</v>
      </c>
      <c r="AB33" s="53">
        <v>100</v>
      </c>
      <c r="AC33" s="52" t="s">
        <v>144</v>
      </c>
      <c r="AD33" s="55" t="s">
        <v>190</v>
      </c>
      <c r="AE33" s="55" t="s">
        <v>146</v>
      </c>
      <c r="AF33" s="55" t="s">
        <v>146</v>
      </c>
      <c r="AG33" s="55" t="s">
        <v>146</v>
      </c>
      <c r="AH33" s="55">
        <v>1</v>
      </c>
      <c r="AI33" s="55">
        <v>300</v>
      </c>
      <c r="AJ33" s="62">
        <f>SUM(Sheet_1_Table_1_136[[#This Row],[ILP Units Per Session]]*Sheet_1_Table_1_136[[#This Row],[Quota]])</f>
        <v>300</v>
      </c>
      <c r="AK33" s="179">
        <v>46258</v>
      </c>
      <c r="AL33" s="64" t="str">
        <f>TEXT(Sheet_1_Table_1_136[[#This Row],[Lesson 1 
Date 
(DD-MMM-YYYY)]], "ddd")</f>
        <v>Mon</v>
      </c>
      <c r="AM33" s="65">
        <v>0.83333333333333337</v>
      </c>
      <c r="AN33" s="66">
        <v>0.89583333333333337</v>
      </c>
      <c r="AO33" s="67" t="s">
        <v>538</v>
      </c>
      <c r="AP33" s="68"/>
      <c r="AQ33" s="64" t="e">
        <f>WEEKDAY([19]!Sheet_1_Table_1_13[[#This Row],[Lesson 2
Date 
(DD-MMM-YYYY)]])</f>
        <v>#REF!</v>
      </c>
      <c r="AR33" s="65"/>
      <c r="AS33" s="66"/>
      <c r="AT33" s="66"/>
      <c r="AU33" s="63"/>
      <c r="AV33" s="64" t="e">
        <f>WEEKDAY([19]!Sheet_1_Table_1_13[[#This Row],[Lesson 3
Date 
(DD-MMM-YYYY)]])</f>
        <v>#REF!</v>
      </c>
      <c r="AW33" s="65"/>
      <c r="AX33" s="66"/>
      <c r="AY33" s="67"/>
      <c r="AZ33" s="68"/>
      <c r="BA33" s="64" t="e">
        <f>WEEKDAY([19]!Sheet_1_Table_1_13[[#This Row],[Lesson 4
Date 
(DD-MMM-YYYY)]])</f>
        <v>#REF!</v>
      </c>
      <c r="BB33" s="65"/>
      <c r="BC33" s="66"/>
      <c r="BD33" s="66"/>
      <c r="BE33" s="63"/>
      <c r="BF33" s="64" t="e">
        <f>WEEKDAY([19]!Sheet_1_Table_1_13[[#This Row],[Lesson 5
Date 
(DD-MMM-YYYY)]])</f>
        <v>#REF!</v>
      </c>
      <c r="BG33" s="65"/>
      <c r="BH33" s="66"/>
      <c r="BI33" s="67"/>
      <c r="BJ33" s="68"/>
      <c r="BK33" s="64" t="e">
        <f>WEEKDAY([19]!Sheet_1_Table_1_13[[#This Row],[Lesson 6
Date 
(DD-MMM-YYYY)]])</f>
        <v>#REF!</v>
      </c>
      <c r="BL33" s="65"/>
      <c r="BM33" s="66"/>
      <c r="BN33" s="66"/>
      <c r="BO33" s="54" t="s">
        <v>1603</v>
      </c>
      <c r="BP33" s="55" t="s">
        <v>1849</v>
      </c>
      <c r="BQ33" s="55" t="s">
        <v>165</v>
      </c>
      <c r="BR33" s="53" t="s">
        <v>1850</v>
      </c>
      <c r="BS33" s="52"/>
      <c r="BT33" s="56"/>
      <c r="BU33" s="56"/>
      <c r="BV33" s="70"/>
      <c r="BW33" s="60"/>
      <c r="BX33" s="71"/>
      <c r="BY33" s="56"/>
      <c r="BZ33" s="56"/>
      <c r="CA33" s="56" t="s">
        <v>149</v>
      </c>
      <c r="CB33" s="72"/>
      <c r="CC33" s="72"/>
      <c r="CD33" s="71"/>
      <c r="CE33" s="54" t="s">
        <v>1851</v>
      </c>
      <c r="CF33" s="470" t="s">
        <v>1852</v>
      </c>
      <c r="CG33" s="55" t="s">
        <v>1851</v>
      </c>
      <c r="CH33" s="471" t="s">
        <v>1852</v>
      </c>
      <c r="CI33" s="52" t="s">
        <v>146</v>
      </c>
      <c r="CJ33" s="52" t="s">
        <v>142</v>
      </c>
      <c r="CK33" s="52" t="s">
        <v>142</v>
      </c>
      <c r="CL33" s="52" t="s">
        <v>142</v>
      </c>
      <c r="CM33" s="52" t="s">
        <v>146</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c r="DB33" s="50"/>
      <c r="DC33" s="50"/>
      <c r="DD33" s="50"/>
      <c r="DE33" s="50"/>
      <c r="DF33" s="50"/>
      <c r="DG33" s="73"/>
      <c r="DH33" s="73"/>
      <c r="DI33" s="73"/>
      <c r="DJ33" s="73"/>
      <c r="DK33" s="76"/>
      <c r="DL33" s="76"/>
      <c r="DM33" s="76"/>
      <c r="DN33" s="790"/>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32</v>
      </c>
      <c r="B34" s="49">
        <v>202609</v>
      </c>
      <c r="C34" s="50" t="s">
        <v>1853</v>
      </c>
      <c r="D34" s="50" t="s">
        <v>1854</v>
      </c>
      <c r="E34" s="198">
        <v>5887</v>
      </c>
      <c r="F34" s="52" t="s">
        <v>1842</v>
      </c>
      <c r="G34" s="53" t="s">
        <v>1713</v>
      </c>
      <c r="H34" s="191" t="s">
        <v>1843</v>
      </c>
      <c r="I34" s="199" t="s">
        <v>1844</v>
      </c>
      <c r="J34" s="208" t="s">
        <v>1855</v>
      </c>
      <c r="K34" s="55" t="s">
        <v>1856</v>
      </c>
      <c r="L34" s="55"/>
      <c r="M34" s="56" t="s">
        <v>1857</v>
      </c>
      <c r="N34" s="211" t="s">
        <v>1858</v>
      </c>
      <c r="O34" s="58" t="s">
        <v>146</v>
      </c>
      <c r="P34" s="450" t="s">
        <v>146</v>
      </c>
      <c r="Q34" s="60" t="s">
        <v>1600</v>
      </c>
      <c r="R34" s="61" t="s">
        <v>1601</v>
      </c>
      <c r="S34" s="55">
        <v>0</v>
      </c>
      <c r="T34" s="55">
        <v>0</v>
      </c>
      <c r="U34" s="55">
        <v>0</v>
      </c>
      <c r="V34" s="55">
        <v>100</v>
      </c>
      <c r="W34" s="55">
        <v>0</v>
      </c>
      <c r="X34" s="55">
        <v>0</v>
      </c>
      <c r="Y34" s="55">
        <v>0</v>
      </c>
      <c r="Z34" s="55">
        <v>0</v>
      </c>
      <c r="AA34" s="55">
        <v>0</v>
      </c>
      <c r="AB34" s="53">
        <v>100</v>
      </c>
      <c r="AC34" s="52" t="s">
        <v>199</v>
      </c>
      <c r="AD34" s="201" t="s">
        <v>190</v>
      </c>
      <c r="AE34" s="201" t="s">
        <v>142</v>
      </c>
      <c r="AF34" s="201" t="s">
        <v>146</v>
      </c>
      <c r="AG34" s="201" t="s">
        <v>142</v>
      </c>
      <c r="AH34" s="472">
        <v>4</v>
      </c>
      <c r="AI34" s="55">
        <v>40</v>
      </c>
      <c r="AJ34" s="62">
        <f>SUM(Sheet_1_Table_1_136[[#This Row],[ILP Units Per Session]]*Sheet_1_Table_1_136[[#This Row],[Quota]])</f>
        <v>160</v>
      </c>
      <c r="AK34" s="203">
        <v>46303</v>
      </c>
      <c r="AL34" s="64" t="str">
        <f>TEXT(Sheet_1_Table_1_136[[#This Row],[Lesson 1 
Date 
(DD-MMM-YYYY)]], "ddd")</f>
        <v>Thu</v>
      </c>
      <c r="AM34" s="65">
        <v>0.83333333333333337</v>
      </c>
      <c r="AN34" s="205">
        <v>0.91666666666666663</v>
      </c>
      <c r="AO34" s="207" t="s">
        <v>400</v>
      </c>
      <c r="AP34" s="68">
        <v>46310</v>
      </c>
      <c r="AQ34" s="64" t="e">
        <f>WEEKDAY([19]!Sheet_1_Table_1_13[[#This Row],[Lesson 2
Date 
(DD-MMM-YYYY)]])</f>
        <v>#REF!</v>
      </c>
      <c r="AR34" s="65">
        <v>0.83333333333333337</v>
      </c>
      <c r="AS34" s="205">
        <v>0.91666666666666663</v>
      </c>
      <c r="AT34" s="207" t="s">
        <v>400</v>
      </c>
      <c r="AU34" s="203"/>
      <c r="AV34" s="165" t="e">
        <f>WEEKDAY([19]!Sheet_1_Table_1_13[[#This Row],[Lesson 3
Date 
(DD-MMM-YYYY)]])</f>
        <v>#REF!</v>
      </c>
      <c r="AW34" s="204"/>
      <c r="AX34" s="205"/>
      <c r="AY34" s="207"/>
      <c r="AZ34" s="68"/>
      <c r="BA34" s="64" t="e">
        <f>WEEKDAY([19]!Sheet_1_Table_1_13[[#This Row],[Lesson 4
Date 
(DD-MMM-YYYY)]])</f>
        <v>#REF!</v>
      </c>
      <c r="BB34" s="65"/>
      <c r="BC34" s="66"/>
      <c r="BD34" s="66"/>
      <c r="BE34" s="203"/>
      <c r="BF34" s="165" t="e">
        <f>WEEKDAY([19]!Sheet_1_Table_1_13[[#This Row],[Lesson 5
Date 
(DD-MMM-YYYY)]])</f>
        <v>#REF!</v>
      </c>
      <c r="BG34" s="204"/>
      <c r="BH34" s="205"/>
      <c r="BI34" s="207"/>
      <c r="BJ34" s="68"/>
      <c r="BK34" s="165" t="e">
        <f>WEEKDAY([19]!Sheet_1_Table_1_13[[#This Row],[Lesson 6
Date 
(DD-MMM-YYYY)]])</f>
        <v>#REF!</v>
      </c>
      <c r="BL34" s="204"/>
      <c r="BM34" s="205"/>
      <c r="BN34" s="205"/>
      <c r="BO34" s="208" t="s">
        <v>163</v>
      </c>
      <c r="BP34" s="201" t="s">
        <v>1859</v>
      </c>
      <c r="BQ34" s="201" t="s">
        <v>1860</v>
      </c>
      <c r="BR34" s="473" t="s">
        <v>1861</v>
      </c>
      <c r="BS34" s="52"/>
      <c r="BT34" s="209"/>
      <c r="BU34" s="201"/>
      <c r="BV34" s="70"/>
      <c r="BW34" s="173">
        <v>100</v>
      </c>
      <c r="BX34" s="71"/>
      <c r="BY34" s="210" t="s">
        <v>149</v>
      </c>
      <c r="BZ34" s="210"/>
      <c r="CA34" s="210" t="s">
        <v>1735</v>
      </c>
      <c r="CB34" s="212"/>
      <c r="CC34" s="212"/>
      <c r="CD34" s="213"/>
      <c r="CE34" s="208" t="s">
        <v>1862</v>
      </c>
      <c r="CF34" s="474" t="s">
        <v>1863</v>
      </c>
      <c r="CG34" s="55" t="s">
        <v>1851</v>
      </c>
      <c r="CH34" s="471" t="s">
        <v>1852</v>
      </c>
      <c r="CI34" s="215" t="s">
        <v>146</v>
      </c>
      <c r="CJ34" s="52" t="s">
        <v>142</v>
      </c>
      <c r="CK34" s="52" t="s">
        <v>142</v>
      </c>
      <c r="CL34" s="52" t="s">
        <v>146</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N34" s="790"/>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33</v>
      </c>
      <c r="B35" s="49">
        <v>202609</v>
      </c>
      <c r="C35" s="197">
        <v>451</v>
      </c>
      <c r="D35" s="197" t="s">
        <v>1864</v>
      </c>
      <c r="E35" s="198">
        <v>5889</v>
      </c>
      <c r="F35" s="52" t="s">
        <v>1842</v>
      </c>
      <c r="G35" s="53" t="s">
        <v>1713</v>
      </c>
      <c r="H35" s="191" t="s">
        <v>1843</v>
      </c>
      <c r="I35" s="199" t="s">
        <v>1844</v>
      </c>
      <c r="J35" s="208" t="s">
        <v>1865</v>
      </c>
      <c r="K35" s="55" t="s">
        <v>1866</v>
      </c>
      <c r="L35" s="55"/>
      <c r="M35" s="56" t="s">
        <v>1867</v>
      </c>
      <c r="N35" s="211" t="s">
        <v>1868</v>
      </c>
      <c r="O35" s="58" t="s">
        <v>146</v>
      </c>
      <c r="P35" s="450" t="s">
        <v>146</v>
      </c>
      <c r="Q35" s="60" t="s">
        <v>1600</v>
      </c>
      <c r="R35" s="61" t="s">
        <v>1601</v>
      </c>
      <c r="S35" s="55">
        <v>0</v>
      </c>
      <c r="T35" s="55">
        <v>0</v>
      </c>
      <c r="U35" s="55">
        <v>50</v>
      </c>
      <c r="V35" s="55">
        <v>50</v>
      </c>
      <c r="W35" s="55">
        <v>0</v>
      </c>
      <c r="X35" s="55">
        <v>0</v>
      </c>
      <c r="Y35" s="55">
        <v>0</v>
      </c>
      <c r="Z35" s="55">
        <v>0</v>
      </c>
      <c r="AA35" s="55">
        <v>0</v>
      </c>
      <c r="AB35" s="53">
        <v>100</v>
      </c>
      <c r="AC35" s="52" t="s">
        <v>199</v>
      </c>
      <c r="AD35" s="201" t="s">
        <v>190</v>
      </c>
      <c r="AE35" s="201" t="s">
        <v>146</v>
      </c>
      <c r="AF35" s="201" t="s">
        <v>146</v>
      </c>
      <c r="AG35" s="201" t="s">
        <v>146</v>
      </c>
      <c r="AH35" s="472">
        <v>4</v>
      </c>
      <c r="AI35" s="55">
        <v>20</v>
      </c>
      <c r="AJ35" s="62">
        <f>SUM(Sheet_1_Table_1_136[[#This Row],[ILP Units Per Session]]*Sheet_1_Table_1_136[[#This Row],[Quota]])</f>
        <v>80</v>
      </c>
      <c r="AK35" s="203">
        <v>46315</v>
      </c>
      <c r="AL35" s="64" t="str">
        <f>TEXT(Sheet_1_Table_1_136[[#This Row],[Lesson 1 
Date 
(DD-MMM-YYYY)]], "ddd")</f>
        <v>Tue</v>
      </c>
      <c r="AM35" s="65">
        <v>0.8125</v>
      </c>
      <c r="AN35" s="205">
        <v>0.89583333333333337</v>
      </c>
      <c r="AO35" s="207" t="s">
        <v>1869</v>
      </c>
      <c r="AP35" s="68">
        <v>46322</v>
      </c>
      <c r="AQ35" s="64" t="e">
        <f>WEEKDAY([19]!Sheet_1_Table_1_13[[#This Row],[Lesson 2
Date 
(DD-MMM-YYYY)]])</f>
        <v>#REF!</v>
      </c>
      <c r="AR35" s="65">
        <v>0.8125</v>
      </c>
      <c r="AS35" s="205">
        <v>0.89583333333333337</v>
      </c>
      <c r="AT35" s="207" t="s">
        <v>1869</v>
      </c>
      <c r="AU35" s="203"/>
      <c r="AV35" s="165" t="e">
        <f>WEEKDAY([19]!Sheet_1_Table_1_13[[#This Row],[Lesson 3
Date 
(DD-MMM-YYYY)]])</f>
        <v>#REF!</v>
      </c>
      <c r="AW35" s="204"/>
      <c r="AX35" s="205"/>
      <c r="AY35" s="207"/>
      <c r="AZ35" s="68"/>
      <c r="BA35" s="64" t="e">
        <f>WEEKDAY([19]!Sheet_1_Table_1_13[[#This Row],[Lesson 4
Date 
(DD-MMM-YYYY)]])</f>
        <v>#REF!</v>
      </c>
      <c r="BB35" s="65"/>
      <c r="BC35" s="66"/>
      <c r="BD35" s="66"/>
      <c r="BE35" s="203"/>
      <c r="BF35" s="165" t="e">
        <f>WEEKDAY([19]!Sheet_1_Table_1_13[[#This Row],[Lesson 5
Date 
(DD-MMM-YYYY)]])</f>
        <v>#REF!</v>
      </c>
      <c r="BG35" s="204"/>
      <c r="BH35" s="205"/>
      <c r="BI35" s="207"/>
      <c r="BJ35" s="68"/>
      <c r="BK35" s="165" t="e">
        <f>WEEKDAY([19]!Sheet_1_Table_1_13[[#This Row],[Lesson 6
Date 
(DD-MMM-YYYY)]])</f>
        <v>#REF!</v>
      </c>
      <c r="BL35" s="204"/>
      <c r="BM35" s="205"/>
      <c r="BN35" s="205"/>
      <c r="BO35" s="208" t="s">
        <v>293</v>
      </c>
      <c r="BP35" s="201" t="s">
        <v>1870</v>
      </c>
      <c r="BQ35" s="201" t="s">
        <v>1871</v>
      </c>
      <c r="BR35" s="589" t="s">
        <v>1872</v>
      </c>
      <c r="BS35" s="52"/>
      <c r="BT35" s="209"/>
      <c r="BU35" s="201"/>
      <c r="BV35" s="70"/>
      <c r="BW35" s="173">
        <v>100</v>
      </c>
      <c r="BX35" s="71"/>
      <c r="BY35" s="210" t="s">
        <v>149</v>
      </c>
      <c r="BZ35" s="210"/>
      <c r="CA35" s="210" t="s">
        <v>1735</v>
      </c>
      <c r="CB35" s="212"/>
      <c r="CC35" s="212"/>
      <c r="CD35" s="213"/>
      <c r="CE35" s="208" t="s">
        <v>1862</v>
      </c>
      <c r="CF35" s="474" t="s">
        <v>1863</v>
      </c>
      <c r="CG35" s="55" t="s">
        <v>1851</v>
      </c>
      <c r="CH35" s="471" t="s">
        <v>1852</v>
      </c>
      <c r="CI35" s="215" t="s">
        <v>146</v>
      </c>
      <c r="CJ35" s="52" t="s">
        <v>142</v>
      </c>
      <c r="CK35" s="52" t="s">
        <v>142</v>
      </c>
      <c r="CL35" s="52" t="s">
        <v>146</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N35" s="790"/>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34</v>
      </c>
      <c r="B36" s="49">
        <v>202609</v>
      </c>
      <c r="C36" s="475" t="s">
        <v>1873</v>
      </c>
      <c r="D36" s="50" t="s">
        <v>133</v>
      </c>
      <c r="E36" s="51">
        <v>5940</v>
      </c>
      <c r="F36" s="476" t="s">
        <v>1874</v>
      </c>
      <c r="G36" s="53" t="s">
        <v>1713</v>
      </c>
      <c r="H36" s="80" t="s">
        <v>1875</v>
      </c>
      <c r="I36" s="290" t="s">
        <v>1876</v>
      </c>
      <c r="J36" s="451"/>
      <c r="K36" s="447" t="s">
        <v>1877</v>
      </c>
      <c r="L36" s="55"/>
      <c r="M36" s="477" t="s">
        <v>1878</v>
      </c>
      <c r="N36" s="478" t="s">
        <v>1879</v>
      </c>
      <c r="O36" s="447" t="s">
        <v>142</v>
      </c>
      <c r="P36" s="460" t="s">
        <v>142</v>
      </c>
      <c r="Q36" s="60" t="s">
        <v>1600</v>
      </c>
      <c r="R36" s="77" t="str">
        <f>VLOOKUP(Sheet_1_Table_1_136[[#This Row],[Learning Domain]],[20]List!$A$7:$B$12,2,0)</f>
        <v>RE</v>
      </c>
      <c r="S36" s="447">
        <v>50</v>
      </c>
      <c r="T36" s="447">
        <v>0</v>
      </c>
      <c r="U36" s="447">
        <v>0</v>
      </c>
      <c r="V36" s="447">
        <v>0</v>
      </c>
      <c r="W36" s="447">
        <v>0</v>
      </c>
      <c r="X36" s="447">
        <v>0</v>
      </c>
      <c r="Y36" s="447">
        <v>50</v>
      </c>
      <c r="Z36" s="447">
        <v>0</v>
      </c>
      <c r="AA36" s="447">
        <v>0</v>
      </c>
      <c r="AB36" s="479">
        <v>100</v>
      </c>
      <c r="AC36" s="459" t="s">
        <v>144</v>
      </c>
      <c r="AD36" s="447" t="s">
        <v>190</v>
      </c>
      <c r="AE36" s="447" t="s">
        <v>142</v>
      </c>
      <c r="AF36" s="447" t="s">
        <v>146</v>
      </c>
      <c r="AG36" s="447" t="s">
        <v>142</v>
      </c>
      <c r="AH36" s="447">
        <v>1</v>
      </c>
      <c r="AI36" s="447">
        <v>120</v>
      </c>
      <c r="AJ36" s="62">
        <f>SUM(Sheet_1_Table_1_136[[#This Row],[ILP Units Per Session]]*Sheet_1_Table_1_136[[#This Row],[Quota]])</f>
        <v>120</v>
      </c>
      <c r="AK36" s="480">
        <v>46258</v>
      </c>
      <c r="AL36" s="64" t="str">
        <f>TEXT(Sheet_1_Table_1_136[[#This Row],[Lesson 1 
Date 
(DD-MMM-YYYY)]], "ddd")</f>
        <v>Mon</v>
      </c>
      <c r="AM36" s="453">
        <v>0.83333333333333337</v>
      </c>
      <c r="AN36" s="454">
        <v>0.89583333333333304</v>
      </c>
      <c r="AO36" s="481" t="s">
        <v>1880</v>
      </c>
      <c r="AP36" s="482"/>
      <c r="AQ36" s="483" t="e">
        <f>WEEKDAY([21]!Sheet_1_Table_1_13[[#This Row],[Lesson 2
Date 
(DD-MMM-YYYY)]])</f>
        <v>#REF!</v>
      </c>
      <c r="AR36" s="453"/>
      <c r="AS36" s="454"/>
      <c r="AT36" s="454"/>
      <c r="AU36" s="480"/>
      <c r="AV36" s="483" t="e">
        <f>WEEKDAY([21]!Sheet_1_Table_1_13[[#This Row],[Lesson 3
Date 
(DD-MMM-YYYY)]])</f>
        <v>#REF!</v>
      </c>
      <c r="AW36" s="453"/>
      <c r="AX36" s="454"/>
      <c r="AY36" s="484"/>
      <c r="AZ36" s="482"/>
      <c r="BA36" s="483" t="e">
        <f>WEEKDAY([21]!Sheet_1_Table_1_13[[#This Row],[Lesson 4
Date 
(DD-MMM-YYYY)]])</f>
        <v>#REF!</v>
      </c>
      <c r="BB36" s="453"/>
      <c r="BC36" s="454"/>
      <c r="BD36" s="454"/>
      <c r="BE36" s="480"/>
      <c r="BF36" s="483" t="e">
        <f>WEEKDAY([21]!Sheet_1_Table_1_13[[#This Row],[Lesson 5
Date 
(DD-MMM-YYYY)]])</f>
        <v>#REF!</v>
      </c>
      <c r="BG36" s="453"/>
      <c r="BH36" s="454"/>
      <c r="BI36" s="484"/>
      <c r="BJ36" s="482"/>
      <c r="BK36" s="483" t="e">
        <f>WEEKDAY([21]!Sheet_1_Table_1_13[[#This Row],[Lesson 6
Date 
(DD-MMM-YYYY)]])</f>
        <v>#REF!</v>
      </c>
      <c r="BL36" s="453"/>
      <c r="BM36" s="454"/>
      <c r="BN36" s="454"/>
      <c r="BO36" s="455" t="s">
        <v>293</v>
      </c>
      <c r="BP36" s="456" t="s">
        <v>1881</v>
      </c>
      <c r="BQ36" s="447" t="s">
        <v>1882</v>
      </c>
      <c r="BR36" s="448" t="s">
        <v>1883</v>
      </c>
      <c r="BS36" s="459" t="s">
        <v>163</v>
      </c>
      <c r="BT36" s="452" t="s">
        <v>1884</v>
      </c>
      <c r="BU36" s="452" t="s">
        <v>1885</v>
      </c>
      <c r="BV36" s="478" t="s">
        <v>1886</v>
      </c>
      <c r="BW36" s="451"/>
      <c r="BX36" s="485"/>
      <c r="BY36" s="452" t="s">
        <v>149</v>
      </c>
      <c r="BZ36" s="452"/>
      <c r="CA36" s="452" t="s">
        <v>149</v>
      </c>
      <c r="CB36" s="486"/>
      <c r="CC36" s="486"/>
      <c r="CD36" s="485"/>
      <c r="CE36" s="451" t="s">
        <v>1887</v>
      </c>
      <c r="CF36" s="487" t="s">
        <v>1888</v>
      </c>
      <c r="CG36" s="452"/>
      <c r="CH36" s="448"/>
      <c r="CI36" s="459" t="s">
        <v>146</v>
      </c>
      <c r="CJ36" s="459" t="s">
        <v>142</v>
      </c>
      <c r="CK36" s="459" t="s">
        <v>142</v>
      </c>
      <c r="CL36" s="459" t="s">
        <v>142</v>
      </c>
      <c r="CM36" s="459" t="s">
        <v>146</v>
      </c>
      <c r="CN36" s="459" t="s">
        <v>142</v>
      </c>
      <c r="CO36" s="459" t="s">
        <v>142</v>
      </c>
      <c r="CP36" s="459" t="s">
        <v>142</v>
      </c>
      <c r="CQ36" s="459" t="s">
        <v>142</v>
      </c>
      <c r="CR36" s="459" t="s">
        <v>142</v>
      </c>
      <c r="CS36" s="459" t="s">
        <v>142</v>
      </c>
      <c r="CT36" s="459" t="s">
        <v>142</v>
      </c>
      <c r="CU36" s="459" t="s">
        <v>142</v>
      </c>
      <c r="CV36" s="459" t="s">
        <v>142</v>
      </c>
      <c r="CW36" s="459" t="s">
        <v>142</v>
      </c>
      <c r="CX36" s="459" t="s">
        <v>142</v>
      </c>
      <c r="CY36" s="459" t="s">
        <v>146</v>
      </c>
      <c r="CZ36" s="460" t="s">
        <v>146</v>
      </c>
      <c r="DA36" s="455" t="s">
        <v>154</v>
      </c>
      <c r="DB36" s="50" t="s">
        <v>155</v>
      </c>
      <c r="DC36" s="50" t="s">
        <v>156</v>
      </c>
      <c r="DD36" s="50" t="s">
        <v>146</v>
      </c>
      <c r="DE36" s="50" t="s">
        <v>157</v>
      </c>
      <c r="DF36" s="50" t="s">
        <v>146</v>
      </c>
      <c r="DG36" s="73"/>
      <c r="DH36" s="73"/>
      <c r="DI36" s="488"/>
      <c r="DJ36" s="489"/>
      <c r="DK36" s="76" t="s">
        <v>146</v>
      </c>
      <c r="DL36" s="76" t="s">
        <v>146</v>
      </c>
      <c r="DM36" s="76" t="s">
        <v>146</v>
      </c>
      <c r="DN36" s="790"/>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35</v>
      </c>
      <c r="B37" s="49">
        <v>202609</v>
      </c>
      <c r="C37" s="197" t="s">
        <v>1889</v>
      </c>
      <c r="D37" s="197" t="s">
        <v>251</v>
      </c>
      <c r="E37" s="198">
        <v>5941</v>
      </c>
      <c r="F37" s="476" t="s">
        <v>1874</v>
      </c>
      <c r="G37" s="53" t="s">
        <v>1713</v>
      </c>
      <c r="H37" s="80" t="s">
        <v>1875</v>
      </c>
      <c r="I37" s="290" t="s">
        <v>1876</v>
      </c>
      <c r="J37" s="457"/>
      <c r="K37" s="490" t="s">
        <v>1890</v>
      </c>
      <c r="L37" s="55"/>
      <c r="M37" s="477" t="s">
        <v>1891</v>
      </c>
      <c r="N37" s="491" t="s">
        <v>1892</v>
      </c>
      <c r="O37" s="447" t="s">
        <v>146</v>
      </c>
      <c r="P37" s="460" t="s">
        <v>146</v>
      </c>
      <c r="Q37" s="60" t="s">
        <v>1600</v>
      </c>
      <c r="R37" s="61" t="str">
        <f>VLOOKUP(Sheet_1_Table_1_136[[#This Row],[Learning Domain]],[20]List!$A$7:$B$12,2,0)</f>
        <v>RE</v>
      </c>
      <c r="S37" s="447">
        <v>50</v>
      </c>
      <c r="T37" s="447">
        <v>0</v>
      </c>
      <c r="U37" s="447">
        <v>0</v>
      </c>
      <c r="V37" s="447">
        <v>0</v>
      </c>
      <c r="W37" s="447">
        <v>25</v>
      </c>
      <c r="X37" s="447">
        <v>25</v>
      </c>
      <c r="Y37" s="447">
        <v>0</v>
      </c>
      <c r="Z37" s="447">
        <v>0</v>
      </c>
      <c r="AA37" s="447">
        <v>0</v>
      </c>
      <c r="AB37" s="479">
        <v>100</v>
      </c>
      <c r="AC37" s="459" t="s">
        <v>144</v>
      </c>
      <c r="AD37" s="447" t="s">
        <v>190</v>
      </c>
      <c r="AE37" s="492" t="s">
        <v>146</v>
      </c>
      <c r="AF37" s="492" t="s">
        <v>142</v>
      </c>
      <c r="AG37" s="492" t="s">
        <v>146</v>
      </c>
      <c r="AH37" s="447">
        <v>1.5</v>
      </c>
      <c r="AI37" s="447">
        <v>30</v>
      </c>
      <c r="AJ37" s="62">
        <f>SUM(Sheet_1_Table_1_136[[#This Row],[ILP Units Per Session]]*Sheet_1_Table_1_136[[#This Row],[Quota]])</f>
        <v>45</v>
      </c>
      <c r="AK37" s="493">
        <v>46283</v>
      </c>
      <c r="AL37" s="64" t="str">
        <f>TEXT(Sheet_1_Table_1_136[[#This Row],[Lesson 1 
Date 
(DD-MMM-YYYY)]], "ddd")</f>
        <v>Fri</v>
      </c>
      <c r="AM37" s="494">
        <v>0.8125</v>
      </c>
      <c r="AN37" s="495">
        <v>0.875</v>
      </c>
      <c r="AO37" s="496" t="s">
        <v>1893</v>
      </c>
      <c r="AP37" s="482"/>
      <c r="AQ37" s="483" t="e">
        <f>WEEKDAY([21]!Sheet_1_Table_1_13[[#This Row],[Lesson 2
Date 
(DD-MMM-YYYY)]])</f>
        <v>#REF!</v>
      </c>
      <c r="AR37" s="453"/>
      <c r="AS37" s="454"/>
      <c r="AT37" s="454"/>
      <c r="AU37" s="493"/>
      <c r="AV37" s="497" t="e">
        <f>WEEKDAY([21]!Sheet_1_Table_1_13[[#This Row],[Lesson 3
Date 
(DD-MMM-YYYY)]])</f>
        <v>#REF!</v>
      </c>
      <c r="AW37" s="494"/>
      <c r="AX37" s="495"/>
      <c r="AY37" s="498"/>
      <c r="AZ37" s="482"/>
      <c r="BA37" s="483" t="e">
        <f>WEEKDAY([21]!Sheet_1_Table_1_13[[#This Row],[Lesson 4
Date 
(DD-MMM-YYYY)]])</f>
        <v>#REF!</v>
      </c>
      <c r="BB37" s="453"/>
      <c r="BC37" s="454"/>
      <c r="BD37" s="454"/>
      <c r="BE37" s="493"/>
      <c r="BF37" s="497" t="e">
        <f>WEEKDAY([21]!Sheet_1_Table_1_13[[#This Row],[Lesson 5
Date 
(DD-MMM-YYYY)]])</f>
        <v>#REF!</v>
      </c>
      <c r="BG37" s="494"/>
      <c r="BH37" s="495"/>
      <c r="BI37" s="498"/>
      <c r="BJ37" s="482"/>
      <c r="BK37" s="497" t="e">
        <f>WEEKDAY([21]!Sheet_1_Table_1_13[[#This Row],[Lesson 6
Date 
(DD-MMM-YYYY)]])</f>
        <v>#REF!</v>
      </c>
      <c r="BL37" s="494"/>
      <c r="BM37" s="495"/>
      <c r="BN37" s="495"/>
      <c r="BO37" s="499" t="s">
        <v>293</v>
      </c>
      <c r="BP37" s="500" t="s">
        <v>1881</v>
      </c>
      <c r="BQ37" s="447" t="s">
        <v>1882</v>
      </c>
      <c r="BR37" s="501" t="s">
        <v>1883</v>
      </c>
      <c r="BS37" s="459" t="s">
        <v>163</v>
      </c>
      <c r="BT37" s="500" t="s">
        <v>1884</v>
      </c>
      <c r="BU37" s="492" t="s">
        <v>1885</v>
      </c>
      <c r="BV37" s="478" t="s">
        <v>1886</v>
      </c>
      <c r="BW37" s="451"/>
      <c r="BX37" s="485"/>
      <c r="BY37" s="502" t="s">
        <v>149</v>
      </c>
      <c r="BZ37" s="502"/>
      <c r="CA37" s="502" t="s">
        <v>1894</v>
      </c>
      <c r="CB37" s="503"/>
      <c r="CC37" s="503"/>
      <c r="CD37" s="504"/>
      <c r="CE37" s="451" t="s">
        <v>1887</v>
      </c>
      <c r="CF37" s="487" t="s">
        <v>1888</v>
      </c>
      <c r="CG37" s="452"/>
      <c r="CH37" s="448"/>
      <c r="CI37" s="505" t="s">
        <v>146</v>
      </c>
      <c r="CJ37" s="459" t="s">
        <v>142</v>
      </c>
      <c r="CK37" s="459" t="s">
        <v>142</v>
      </c>
      <c r="CL37" s="459" t="s">
        <v>142</v>
      </c>
      <c r="CM37" s="459" t="s">
        <v>146</v>
      </c>
      <c r="CN37" s="459" t="s">
        <v>142</v>
      </c>
      <c r="CO37" s="459" t="s">
        <v>142</v>
      </c>
      <c r="CP37" s="459" t="s">
        <v>142</v>
      </c>
      <c r="CQ37" s="459" t="s">
        <v>142</v>
      </c>
      <c r="CR37" s="459" t="s">
        <v>142</v>
      </c>
      <c r="CS37" s="459" t="s">
        <v>142</v>
      </c>
      <c r="CT37" s="459" t="s">
        <v>142</v>
      </c>
      <c r="CU37" s="459" t="s">
        <v>142</v>
      </c>
      <c r="CV37" s="459" t="s">
        <v>142</v>
      </c>
      <c r="CW37" s="459" t="s">
        <v>142</v>
      </c>
      <c r="CX37" s="459" t="s">
        <v>142</v>
      </c>
      <c r="CY37" s="459" t="s">
        <v>146</v>
      </c>
      <c r="CZ37" s="460" t="s">
        <v>146</v>
      </c>
      <c r="DA37" s="455" t="s">
        <v>154</v>
      </c>
      <c r="DB37" s="50" t="s">
        <v>155</v>
      </c>
      <c r="DC37" s="50" t="s">
        <v>156</v>
      </c>
      <c r="DD37" s="50" t="s">
        <v>146</v>
      </c>
      <c r="DE37" s="50" t="s">
        <v>157</v>
      </c>
      <c r="DF37" s="50" t="s">
        <v>146</v>
      </c>
      <c r="DG37" s="216"/>
      <c r="DH37" s="216"/>
      <c r="DI37" s="488"/>
      <c r="DJ37" s="489"/>
      <c r="DK37" s="217" t="s">
        <v>146</v>
      </c>
      <c r="DL37" s="76" t="s">
        <v>146</v>
      </c>
      <c r="DM37" s="76" t="s">
        <v>146</v>
      </c>
      <c r="DN37" s="790"/>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36</v>
      </c>
      <c r="B38" s="49">
        <v>202609</v>
      </c>
      <c r="C38" s="475" t="s">
        <v>1895</v>
      </c>
      <c r="D38" s="50" t="s">
        <v>174</v>
      </c>
      <c r="E38" s="198">
        <v>5942</v>
      </c>
      <c r="F38" s="476" t="s">
        <v>1874</v>
      </c>
      <c r="G38" s="53" t="s">
        <v>1713</v>
      </c>
      <c r="H38" s="80" t="s">
        <v>1875</v>
      </c>
      <c r="I38" s="290" t="s">
        <v>1876</v>
      </c>
      <c r="J38" s="457"/>
      <c r="K38" s="490" t="s">
        <v>1896</v>
      </c>
      <c r="L38" s="55"/>
      <c r="M38" s="477" t="s">
        <v>1897</v>
      </c>
      <c r="N38" s="491" t="s">
        <v>1898</v>
      </c>
      <c r="O38" s="447" t="s">
        <v>146</v>
      </c>
      <c r="P38" s="460" t="s">
        <v>146</v>
      </c>
      <c r="Q38" s="60" t="s">
        <v>1600</v>
      </c>
      <c r="R38" s="77" t="str">
        <f>VLOOKUP(Sheet_1_Table_1_136[[#This Row],[Learning Domain]],[20]List!$A$7:$B$12,2,0)</f>
        <v>RE</v>
      </c>
      <c r="S38" s="447">
        <v>0</v>
      </c>
      <c r="T38" s="447">
        <v>0</v>
      </c>
      <c r="U38" s="447">
        <v>100</v>
      </c>
      <c r="V38" s="447">
        <v>0</v>
      </c>
      <c r="W38" s="447">
        <v>0</v>
      </c>
      <c r="X38" s="447">
        <v>0</v>
      </c>
      <c r="Y38" s="447">
        <v>0</v>
      </c>
      <c r="Z38" s="447">
        <v>0</v>
      </c>
      <c r="AA38" s="447">
        <v>0</v>
      </c>
      <c r="AB38" s="479">
        <v>100</v>
      </c>
      <c r="AC38" s="459" t="s">
        <v>245</v>
      </c>
      <c r="AD38" s="447" t="s">
        <v>190</v>
      </c>
      <c r="AE38" s="492" t="s">
        <v>142</v>
      </c>
      <c r="AF38" s="492" t="s">
        <v>146</v>
      </c>
      <c r="AG38" s="492" t="s">
        <v>142</v>
      </c>
      <c r="AH38" s="447">
        <v>1.5</v>
      </c>
      <c r="AI38" s="447">
        <v>20</v>
      </c>
      <c r="AJ38" s="62">
        <f>SUM(Sheet_1_Table_1_136[[#This Row],[ILP Units Per Session]]*Sheet_1_Table_1_136[[#This Row],[Quota]])</f>
        <v>30</v>
      </c>
      <c r="AK38" s="493">
        <v>46322</v>
      </c>
      <c r="AL38" s="64" t="str">
        <f>TEXT(Sheet_1_Table_1_136[[#This Row],[Lesson 1 
Date 
(DD-MMM-YYYY)]], "ddd")</f>
        <v>Tue</v>
      </c>
      <c r="AM38" s="494">
        <v>0.60416666666666696</v>
      </c>
      <c r="AN38" s="495">
        <v>0.66666666666666696</v>
      </c>
      <c r="AO38" s="496" t="s">
        <v>1899</v>
      </c>
      <c r="AP38" s="482"/>
      <c r="AQ38" s="483" t="e">
        <f>WEEKDAY([21]!Sheet_1_Table_1_13[[#This Row],[Lesson 2
Date 
(DD-MMM-YYYY)]])</f>
        <v>#REF!</v>
      </c>
      <c r="AR38" s="453"/>
      <c r="AS38" s="454"/>
      <c r="AT38" s="454"/>
      <c r="AU38" s="493"/>
      <c r="AV38" s="497" t="e">
        <f>WEEKDAY([21]!Sheet_1_Table_1_13[[#This Row],[Lesson 3
Date 
(DD-MMM-YYYY)]])</f>
        <v>#REF!</v>
      </c>
      <c r="AW38" s="494"/>
      <c r="AX38" s="495"/>
      <c r="AY38" s="498"/>
      <c r="AZ38" s="482"/>
      <c r="BA38" s="483" t="e">
        <f>WEEKDAY([21]!Sheet_1_Table_1_13[[#This Row],[Lesson 4
Date 
(DD-MMM-YYYY)]])</f>
        <v>#REF!</v>
      </c>
      <c r="BB38" s="453"/>
      <c r="BC38" s="454"/>
      <c r="BD38" s="454"/>
      <c r="BE38" s="493"/>
      <c r="BF38" s="497" t="e">
        <f>WEEKDAY([21]!Sheet_1_Table_1_13[[#This Row],[Lesson 5
Date 
(DD-MMM-YYYY)]])</f>
        <v>#REF!</v>
      </c>
      <c r="BG38" s="494"/>
      <c r="BH38" s="495"/>
      <c r="BI38" s="498"/>
      <c r="BJ38" s="482"/>
      <c r="BK38" s="497" t="e">
        <f>WEEKDAY([21]!Sheet_1_Table_1_13[[#This Row],[Lesson 6
Date 
(DD-MMM-YYYY)]])</f>
        <v>#REF!</v>
      </c>
      <c r="BL38" s="494"/>
      <c r="BM38" s="495"/>
      <c r="BN38" s="495"/>
      <c r="BO38" s="499" t="s">
        <v>293</v>
      </c>
      <c r="BP38" s="500" t="s">
        <v>1900</v>
      </c>
      <c r="BQ38" s="500" t="s">
        <v>777</v>
      </c>
      <c r="BR38" s="501" t="s">
        <v>1901</v>
      </c>
      <c r="BS38" s="459"/>
      <c r="BT38" s="502"/>
      <c r="BU38" s="502"/>
      <c r="BV38" s="478"/>
      <c r="BW38" s="451"/>
      <c r="BX38" s="485"/>
      <c r="BY38" s="502"/>
      <c r="BZ38" s="502"/>
      <c r="CA38" s="502" t="s">
        <v>1735</v>
      </c>
      <c r="CB38" s="503"/>
      <c r="CC38" s="503"/>
      <c r="CD38" s="504"/>
      <c r="CE38" s="451" t="s">
        <v>1887</v>
      </c>
      <c r="CF38" s="487" t="s">
        <v>1888</v>
      </c>
      <c r="CG38" s="452"/>
      <c r="CH38" s="448"/>
      <c r="CI38" s="505" t="s">
        <v>142</v>
      </c>
      <c r="CJ38" s="459" t="s">
        <v>142</v>
      </c>
      <c r="CK38" s="459" t="s">
        <v>142</v>
      </c>
      <c r="CL38" s="459" t="s">
        <v>146</v>
      </c>
      <c r="CM38" s="459" t="s">
        <v>146</v>
      </c>
      <c r="CN38" s="459" t="s">
        <v>146</v>
      </c>
      <c r="CO38" s="459" t="s">
        <v>142</v>
      </c>
      <c r="CP38" s="459" t="s">
        <v>142</v>
      </c>
      <c r="CQ38" s="459" t="s">
        <v>142</v>
      </c>
      <c r="CR38" s="459" t="s">
        <v>142</v>
      </c>
      <c r="CS38" s="459" t="s">
        <v>142</v>
      </c>
      <c r="CT38" s="459" t="s">
        <v>142</v>
      </c>
      <c r="CU38" s="459" t="s">
        <v>142</v>
      </c>
      <c r="CV38" s="459" t="s">
        <v>142</v>
      </c>
      <c r="CW38" s="459" t="s">
        <v>142</v>
      </c>
      <c r="CX38" s="459" t="s">
        <v>142</v>
      </c>
      <c r="CY38" s="459" t="s">
        <v>142</v>
      </c>
      <c r="CZ38" s="460" t="s">
        <v>146</v>
      </c>
      <c r="DA38" s="455" t="s">
        <v>154</v>
      </c>
      <c r="DB38" s="50" t="s">
        <v>155</v>
      </c>
      <c r="DC38" s="50" t="s">
        <v>156</v>
      </c>
      <c r="DD38" s="50" t="s">
        <v>146</v>
      </c>
      <c r="DE38" s="50" t="s">
        <v>157</v>
      </c>
      <c r="DF38" s="50" t="s">
        <v>146</v>
      </c>
      <c r="DG38" s="216"/>
      <c r="DH38" s="216"/>
      <c r="DI38" s="488"/>
      <c r="DJ38" s="489"/>
      <c r="DK38" s="217" t="s">
        <v>146</v>
      </c>
      <c r="DL38" s="76" t="s">
        <v>146</v>
      </c>
      <c r="DM38" s="76" t="s">
        <v>146</v>
      </c>
      <c r="DN38" s="790"/>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37</v>
      </c>
      <c r="B39" s="49">
        <v>202609</v>
      </c>
      <c r="C39" s="475" t="s">
        <v>1902</v>
      </c>
      <c r="D39" s="50" t="s">
        <v>174</v>
      </c>
      <c r="E39" s="51">
        <v>5943</v>
      </c>
      <c r="F39" s="476" t="s">
        <v>1874</v>
      </c>
      <c r="G39" s="53" t="s">
        <v>1713</v>
      </c>
      <c r="H39" s="80" t="s">
        <v>1875</v>
      </c>
      <c r="I39" s="290" t="s">
        <v>1876</v>
      </c>
      <c r="J39" s="451"/>
      <c r="K39" s="490" t="s">
        <v>1903</v>
      </c>
      <c r="L39" s="55"/>
      <c r="M39" s="477" t="s">
        <v>1904</v>
      </c>
      <c r="N39" s="478" t="s">
        <v>1905</v>
      </c>
      <c r="O39" s="447" t="s">
        <v>146</v>
      </c>
      <c r="P39" s="460" t="s">
        <v>146</v>
      </c>
      <c r="Q39" s="60" t="s">
        <v>1600</v>
      </c>
      <c r="R39" s="61" t="str">
        <f>VLOOKUP(Sheet_1_Table_1_136[[#This Row],[Learning Domain]],[20]List!$A$7:$B$12,2,0)</f>
        <v>RE</v>
      </c>
      <c r="S39" s="447">
        <v>0</v>
      </c>
      <c r="T39" s="447">
        <v>0</v>
      </c>
      <c r="U39" s="447">
        <v>0</v>
      </c>
      <c r="V39" s="447">
        <v>25</v>
      </c>
      <c r="W39" s="447">
        <v>75</v>
      </c>
      <c r="X39" s="447">
        <v>0</v>
      </c>
      <c r="Y39" s="447">
        <v>0</v>
      </c>
      <c r="Z39" s="447">
        <v>0</v>
      </c>
      <c r="AA39" s="447">
        <v>0</v>
      </c>
      <c r="AB39" s="479">
        <v>100</v>
      </c>
      <c r="AC39" s="459" t="s">
        <v>144</v>
      </c>
      <c r="AD39" s="447" t="s">
        <v>190</v>
      </c>
      <c r="AE39" s="447" t="s">
        <v>142</v>
      </c>
      <c r="AF39" s="447" t="s">
        <v>146</v>
      </c>
      <c r="AG39" s="447" t="s">
        <v>142</v>
      </c>
      <c r="AH39" s="447">
        <v>1</v>
      </c>
      <c r="AI39" s="447">
        <v>20</v>
      </c>
      <c r="AJ39" s="62">
        <f>SUM(Sheet_1_Table_1_136[[#This Row],[ILP Units Per Session]]*Sheet_1_Table_1_136[[#This Row],[Quota]])</f>
        <v>20</v>
      </c>
      <c r="AK39" s="480">
        <v>46326</v>
      </c>
      <c r="AL39" s="64" t="str">
        <f>TEXT(Sheet_1_Table_1_136[[#This Row],[Lesson 1 
Date 
(DD-MMM-YYYY)]], "ddd")</f>
        <v>Sat</v>
      </c>
      <c r="AM39" s="453">
        <v>0.4375</v>
      </c>
      <c r="AN39" s="454">
        <v>0.47916666666666702</v>
      </c>
      <c r="AO39" s="484" t="s">
        <v>690</v>
      </c>
      <c r="AP39" s="482"/>
      <c r="AQ39" s="483" t="e">
        <f>WEEKDAY([21]!Sheet_1_Table_1_13[[#This Row],[Lesson 2
Date 
(DD-MMM-YYYY)]])</f>
        <v>#REF!</v>
      </c>
      <c r="AR39" s="453"/>
      <c r="AS39" s="454"/>
      <c r="AT39" s="454"/>
      <c r="AU39" s="480"/>
      <c r="AV39" s="483" t="e">
        <f>WEEKDAY([21]!Sheet_1_Table_1_13[[#This Row],[Lesson 3
Date 
(DD-MMM-YYYY)]])</f>
        <v>#REF!</v>
      </c>
      <c r="AW39" s="453"/>
      <c r="AX39" s="454"/>
      <c r="AY39" s="484"/>
      <c r="AZ39" s="482"/>
      <c r="BA39" s="483" t="e">
        <f>WEEKDAY([21]!Sheet_1_Table_1_13[[#This Row],[Lesson 4
Date 
(DD-MMM-YYYY)]])</f>
        <v>#REF!</v>
      </c>
      <c r="BB39" s="453"/>
      <c r="BC39" s="454"/>
      <c r="BD39" s="454"/>
      <c r="BE39" s="480"/>
      <c r="BF39" s="483" t="e">
        <f>WEEKDAY([21]!Sheet_1_Table_1_13[[#This Row],[Lesson 5
Date 
(DD-MMM-YYYY)]])</f>
        <v>#REF!</v>
      </c>
      <c r="BG39" s="453"/>
      <c r="BH39" s="454"/>
      <c r="BI39" s="484"/>
      <c r="BJ39" s="482"/>
      <c r="BK39" s="483" t="e">
        <f>WEEKDAY([21]!Sheet_1_Table_1_13[[#This Row],[Lesson 6
Date 
(DD-MMM-YYYY)]])</f>
        <v>#REF!</v>
      </c>
      <c r="BL39" s="453"/>
      <c r="BM39" s="454"/>
      <c r="BN39" s="454"/>
      <c r="BO39" s="455" t="s">
        <v>293</v>
      </c>
      <c r="BP39" s="500" t="s">
        <v>1906</v>
      </c>
      <c r="BQ39" s="447" t="s">
        <v>1907</v>
      </c>
      <c r="BR39" s="448" t="s">
        <v>1908</v>
      </c>
      <c r="BS39" s="459"/>
      <c r="BT39" s="456"/>
      <c r="BU39" s="447"/>
      <c r="BV39" s="478"/>
      <c r="BW39" s="451"/>
      <c r="BX39" s="485"/>
      <c r="BY39" s="452" t="s">
        <v>149</v>
      </c>
      <c r="BZ39" s="452"/>
      <c r="CA39" s="452" t="s">
        <v>1735</v>
      </c>
      <c r="CB39" s="486"/>
      <c r="CC39" s="486"/>
      <c r="CD39" s="485"/>
      <c r="CE39" s="451" t="s">
        <v>1887</v>
      </c>
      <c r="CF39" s="487" t="s">
        <v>1888</v>
      </c>
      <c r="CG39" s="452"/>
      <c r="CH39" s="448"/>
      <c r="CI39" s="459" t="s">
        <v>146</v>
      </c>
      <c r="CJ39" s="459" t="s">
        <v>142</v>
      </c>
      <c r="CK39" s="459" t="s">
        <v>142</v>
      </c>
      <c r="CL39" s="459" t="s">
        <v>146</v>
      </c>
      <c r="CM39" s="459" t="s">
        <v>146</v>
      </c>
      <c r="CN39" s="459" t="s">
        <v>142</v>
      </c>
      <c r="CO39" s="459" t="s">
        <v>142</v>
      </c>
      <c r="CP39" s="459" t="s">
        <v>142</v>
      </c>
      <c r="CQ39" s="459" t="s">
        <v>142</v>
      </c>
      <c r="CR39" s="459" t="s">
        <v>142</v>
      </c>
      <c r="CS39" s="459" t="s">
        <v>142</v>
      </c>
      <c r="CT39" s="459" t="s">
        <v>146</v>
      </c>
      <c r="CU39" s="459" t="s">
        <v>146</v>
      </c>
      <c r="CV39" s="459" t="s">
        <v>142</v>
      </c>
      <c r="CW39" s="459" t="s">
        <v>142</v>
      </c>
      <c r="CX39" s="459" t="s">
        <v>142</v>
      </c>
      <c r="CY39" s="459" t="s">
        <v>142</v>
      </c>
      <c r="CZ39" s="460" t="s">
        <v>146</v>
      </c>
      <c r="DA39" s="455" t="s">
        <v>154</v>
      </c>
      <c r="DB39" s="50" t="s">
        <v>155</v>
      </c>
      <c r="DC39" s="50" t="s">
        <v>156</v>
      </c>
      <c r="DD39" s="50" t="s">
        <v>146</v>
      </c>
      <c r="DE39" s="50" t="s">
        <v>157</v>
      </c>
      <c r="DF39" s="50" t="s">
        <v>146</v>
      </c>
      <c r="DG39" s="73"/>
      <c r="DH39" s="73"/>
      <c r="DI39" s="488"/>
      <c r="DJ39" s="489"/>
      <c r="DK39" s="76" t="s">
        <v>146</v>
      </c>
      <c r="DL39" s="76" t="s">
        <v>146</v>
      </c>
      <c r="DM39" s="76" t="s">
        <v>146</v>
      </c>
      <c r="DN39" s="790"/>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38</v>
      </c>
      <c r="B40" s="49">
        <v>202609</v>
      </c>
      <c r="C40" s="475" t="s">
        <v>1909</v>
      </c>
      <c r="D40" s="50" t="s">
        <v>205</v>
      </c>
      <c r="E40" s="51">
        <v>5944</v>
      </c>
      <c r="F40" s="476" t="s">
        <v>1874</v>
      </c>
      <c r="G40" s="53" t="s">
        <v>1713</v>
      </c>
      <c r="H40" s="80" t="s">
        <v>1875</v>
      </c>
      <c r="I40" s="290" t="s">
        <v>1876</v>
      </c>
      <c r="J40" s="451"/>
      <c r="K40" s="490" t="s">
        <v>1910</v>
      </c>
      <c r="L40" s="55"/>
      <c r="M40" s="477" t="s">
        <v>1911</v>
      </c>
      <c r="N40" s="448" t="s">
        <v>1912</v>
      </c>
      <c r="O40" s="506" t="s">
        <v>146</v>
      </c>
      <c r="P40" s="460" t="s">
        <v>146</v>
      </c>
      <c r="Q40" s="60" t="s">
        <v>1600</v>
      </c>
      <c r="R40" s="77" t="str">
        <f>VLOOKUP(Sheet_1_Table_1_136[[#This Row],[Learning Domain]],[20]List!$A$7:$B$12,2,0)</f>
        <v>RE</v>
      </c>
      <c r="S40" s="447">
        <v>50</v>
      </c>
      <c r="T40" s="447">
        <v>0</v>
      </c>
      <c r="U40" s="447">
        <v>0</v>
      </c>
      <c r="V40" s="447">
        <v>25</v>
      </c>
      <c r="W40" s="447">
        <v>0</v>
      </c>
      <c r="X40" s="447">
        <v>25</v>
      </c>
      <c r="Y40" s="447">
        <v>0</v>
      </c>
      <c r="Z40" s="447">
        <v>0</v>
      </c>
      <c r="AA40" s="447">
        <v>0</v>
      </c>
      <c r="AB40" s="479">
        <v>100</v>
      </c>
      <c r="AC40" s="459" t="s">
        <v>199</v>
      </c>
      <c r="AD40" s="447" t="s">
        <v>190</v>
      </c>
      <c r="AE40" s="447" t="s">
        <v>146</v>
      </c>
      <c r="AF40" s="447" t="s">
        <v>142</v>
      </c>
      <c r="AG40" s="447" t="s">
        <v>142</v>
      </c>
      <c r="AH40" s="447">
        <v>1</v>
      </c>
      <c r="AI40" s="447">
        <v>20</v>
      </c>
      <c r="AJ40" s="62">
        <f>SUM(Sheet_1_Table_1_136[[#This Row],[ILP Units Per Session]]*Sheet_1_Table_1_136[[#This Row],[Quota]])</f>
        <v>20</v>
      </c>
      <c r="AK40" s="480">
        <v>46330</v>
      </c>
      <c r="AL40" s="64" t="str">
        <f>TEXT(Sheet_1_Table_1_136[[#This Row],[Lesson 1 
Date 
(DD-MMM-YYYY)]], "ddd")</f>
        <v>Wed</v>
      </c>
      <c r="AM40" s="453">
        <v>0.79166666666666663</v>
      </c>
      <c r="AN40" s="454">
        <v>0.83333333333333337</v>
      </c>
      <c r="AO40" s="484" t="s">
        <v>1913</v>
      </c>
      <c r="AP40" s="482"/>
      <c r="AQ40" s="483" t="e">
        <f>WEEKDAY([21]!Sheet_1_Table_1_13[[#This Row],[Lesson 2
Date 
(DD-MMM-YYYY)]])</f>
        <v>#REF!</v>
      </c>
      <c r="AR40" s="453"/>
      <c r="AS40" s="454"/>
      <c r="AT40" s="454"/>
      <c r="AU40" s="480"/>
      <c r="AV40" s="483" t="e">
        <f>WEEKDAY([21]!Sheet_1_Table_1_13[[#This Row],[Lesson 3
Date 
(DD-MMM-YYYY)]])</f>
        <v>#REF!</v>
      </c>
      <c r="AW40" s="453"/>
      <c r="AX40" s="454"/>
      <c r="AY40" s="484"/>
      <c r="AZ40" s="482"/>
      <c r="BA40" s="483" t="e">
        <f>WEEKDAY([21]!Sheet_1_Table_1_13[[#This Row],[Lesson 4
Date 
(DD-MMM-YYYY)]])</f>
        <v>#REF!</v>
      </c>
      <c r="BB40" s="453"/>
      <c r="BC40" s="454"/>
      <c r="BD40" s="454"/>
      <c r="BE40" s="480"/>
      <c r="BF40" s="483" t="e">
        <f>WEEKDAY([21]!Sheet_1_Table_1_13[[#This Row],[Lesson 5
Date 
(DD-MMM-YYYY)]])</f>
        <v>#REF!</v>
      </c>
      <c r="BG40" s="453"/>
      <c r="BH40" s="454"/>
      <c r="BI40" s="484"/>
      <c r="BJ40" s="482"/>
      <c r="BK40" s="483" t="e">
        <f>WEEKDAY([21]!Sheet_1_Table_1_13[[#This Row],[Lesson 6
Date 
(DD-MMM-YYYY)]])</f>
        <v>#REF!</v>
      </c>
      <c r="BL40" s="453"/>
      <c r="BM40" s="454"/>
      <c r="BN40" s="454"/>
      <c r="BO40" s="455" t="s">
        <v>293</v>
      </c>
      <c r="BP40" s="456" t="s">
        <v>1881</v>
      </c>
      <c r="BQ40" s="447" t="s">
        <v>1882</v>
      </c>
      <c r="BR40" s="448" t="s">
        <v>1883</v>
      </c>
      <c r="BS40" s="459"/>
      <c r="BT40" s="452"/>
      <c r="BU40" s="452"/>
      <c r="BV40" s="478"/>
      <c r="BW40" s="451"/>
      <c r="BX40" s="485"/>
      <c r="BY40" s="452" t="s">
        <v>184</v>
      </c>
      <c r="BZ40" s="452"/>
      <c r="CA40" s="452" t="s">
        <v>1735</v>
      </c>
      <c r="CB40" s="486"/>
      <c r="CC40" s="486"/>
      <c r="CD40" s="485"/>
      <c r="CE40" s="451" t="s">
        <v>1887</v>
      </c>
      <c r="CF40" s="487" t="s">
        <v>1888</v>
      </c>
      <c r="CG40" s="452"/>
      <c r="CH40" s="448"/>
      <c r="CI40" s="459" t="s">
        <v>142</v>
      </c>
      <c r="CJ40" s="459" t="s">
        <v>142</v>
      </c>
      <c r="CK40" s="459" t="s">
        <v>142</v>
      </c>
      <c r="CL40" s="459" t="s">
        <v>146</v>
      </c>
      <c r="CM40" s="459" t="s">
        <v>146</v>
      </c>
      <c r="CN40" s="459" t="s">
        <v>142</v>
      </c>
      <c r="CO40" s="459" t="s">
        <v>142</v>
      </c>
      <c r="CP40" s="459" t="s">
        <v>142</v>
      </c>
      <c r="CQ40" s="459" t="s">
        <v>142</v>
      </c>
      <c r="CR40" s="459" t="s">
        <v>142</v>
      </c>
      <c r="CS40" s="459" t="s">
        <v>142</v>
      </c>
      <c r="CT40" s="459" t="s">
        <v>142</v>
      </c>
      <c r="CU40" s="459" t="s">
        <v>142</v>
      </c>
      <c r="CV40" s="459" t="s">
        <v>142</v>
      </c>
      <c r="CW40" s="459" t="s">
        <v>142</v>
      </c>
      <c r="CX40" s="459" t="s">
        <v>142</v>
      </c>
      <c r="CY40" s="459" t="s">
        <v>142</v>
      </c>
      <c r="CZ40" s="460" t="s">
        <v>146</v>
      </c>
      <c r="DA40" s="455" t="s">
        <v>154</v>
      </c>
      <c r="DB40" s="50" t="s">
        <v>155</v>
      </c>
      <c r="DC40" s="50" t="s">
        <v>156</v>
      </c>
      <c r="DD40" s="50" t="s">
        <v>146</v>
      </c>
      <c r="DE40" s="50" t="s">
        <v>157</v>
      </c>
      <c r="DF40" s="50" t="s">
        <v>146</v>
      </c>
      <c r="DG40" s="73"/>
      <c r="DH40" s="73"/>
      <c r="DI40" s="488"/>
      <c r="DJ40" s="489"/>
      <c r="DK40" s="76" t="s">
        <v>146</v>
      </c>
      <c r="DL40" s="76" t="s">
        <v>146</v>
      </c>
      <c r="DM40" s="76" t="s">
        <v>146</v>
      </c>
      <c r="DN40" s="790"/>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39</v>
      </c>
      <c r="B41" s="333">
        <v>202609</v>
      </c>
      <c r="C41" s="197" t="s">
        <v>1914</v>
      </c>
      <c r="D41" s="197" t="s">
        <v>251</v>
      </c>
      <c r="E41" s="198">
        <v>5945</v>
      </c>
      <c r="F41" s="52" t="s">
        <v>1915</v>
      </c>
      <c r="G41" s="53" t="s">
        <v>1713</v>
      </c>
      <c r="H41" s="80" t="s">
        <v>1916</v>
      </c>
      <c r="I41" s="290" t="s">
        <v>1917</v>
      </c>
      <c r="J41" s="214"/>
      <c r="K41" s="56" t="s">
        <v>1918</v>
      </c>
      <c r="L41" s="55"/>
      <c r="M41" s="56" t="s">
        <v>1919</v>
      </c>
      <c r="N41" s="211" t="s">
        <v>1920</v>
      </c>
      <c r="O41" s="58" t="s">
        <v>146</v>
      </c>
      <c r="P41" s="450" t="s">
        <v>146</v>
      </c>
      <c r="Q41" s="214" t="s">
        <v>1600</v>
      </c>
      <c r="R41" s="61" t="str">
        <f>VLOOKUP(Sheet_1_Table_1_136[[#This Row],[Learning Domain]],[20]List!$A$7:$B$12,2,0)</f>
        <v>RE</v>
      </c>
      <c r="S41" s="55">
        <v>0</v>
      </c>
      <c r="T41" s="55">
        <v>0</v>
      </c>
      <c r="U41" s="55">
        <v>0</v>
      </c>
      <c r="V41" s="55">
        <v>0</v>
      </c>
      <c r="W41" s="55">
        <v>40</v>
      </c>
      <c r="X41" s="55">
        <v>60</v>
      </c>
      <c r="Y41" s="55">
        <v>0</v>
      </c>
      <c r="Z41" s="55">
        <v>0</v>
      </c>
      <c r="AA41" s="55">
        <v>0</v>
      </c>
      <c r="AB41" s="53">
        <f>SUM(Sheet_1_Table_1_136[[#This Row],[Leadership LS]:[Career Development  CR]])</f>
        <v>100</v>
      </c>
      <c r="AC41" s="52" t="s">
        <v>199</v>
      </c>
      <c r="AD41" s="201" t="s">
        <v>190</v>
      </c>
      <c r="AE41" s="201" t="s">
        <v>146</v>
      </c>
      <c r="AF41" s="201" t="s">
        <v>146</v>
      </c>
      <c r="AG41" s="201" t="s">
        <v>146</v>
      </c>
      <c r="AH41" s="201">
        <v>2</v>
      </c>
      <c r="AI41" s="55">
        <v>30</v>
      </c>
      <c r="AJ41" s="62">
        <f>SUM(Sheet_1_Table_1_136[[#This Row],[ILP Units Per Session]]*Sheet_1_Table_1_136[[#This Row],[Quota]])</f>
        <v>60</v>
      </c>
      <c r="AK41" s="203">
        <v>46286</v>
      </c>
      <c r="AL41" s="64" t="str">
        <f>TEXT(Sheet_1_Table_1_136[[#This Row],[Lesson 1 
Date 
(DD-MMM-YYYY)]], "ddd")</f>
        <v>Mon</v>
      </c>
      <c r="AM41" s="204">
        <v>0.77083333333333337</v>
      </c>
      <c r="AN41" s="205">
        <v>0.85416666666666663</v>
      </c>
      <c r="AO41" s="207" t="s">
        <v>1921</v>
      </c>
      <c r="AP41" s="68"/>
      <c r="AQ41" s="64">
        <f>WEEKDAY(Sheet_1_Table_1_136[[#This Row],[Lesson 2
Date 
(DD-MMM-YYYY)]])</f>
        <v>7</v>
      </c>
      <c r="AR41" s="65"/>
      <c r="AS41" s="66"/>
      <c r="AT41" s="126"/>
      <c r="AU41" s="63"/>
      <c r="AV41" s="64">
        <f>WEEKDAY(Sheet_1_Table_1_136[[#This Row],[Lesson 3
Date 
(DD-MMM-YYYY)]])</f>
        <v>7</v>
      </c>
      <c r="AW41" s="65"/>
      <c r="AX41" s="66"/>
      <c r="AY41" s="126"/>
      <c r="AZ41" s="98"/>
      <c r="BA41" s="64">
        <f>WEEKDAY(Sheet_1_Table_1_136[[#This Row],[Lesson 4
Date 
(DD-MMM-YYYY)]])</f>
        <v>7</v>
      </c>
      <c r="BB41" s="65"/>
      <c r="BC41" s="66"/>
      <c r="BD41" s="126"/>
      <c r="BE41" s="63"/>
      <c r="BF41" s="64">
        <f>WEEKDAY(Sheet_1_Table_1_136[[#This Row],[Lesson 5
Date 
(DD-MMM-YYYY)]])</f>
        <v>7</v>
      </c>
      <c r="BG41" s="65"/>
      <c r="BH41" s="66"/>
      <c r="BI41" s="126"/>
      <c r="BJ41" s="98"/>
      <c r="BK41" s="64">
        <f>WEEKDAY(Sheet_1_Table_1_136[[#This Row],[Lesson 6
Date 
(DD-MMM-YYYY)]])</f>
        <v>7</v>
      </c>
      <c r="BL41" s="65"/>
      <c r="BM41" s="66"/>
      <c r="BN41" s="99"/>
      <c r="BO41" s="208" t="s">
        <v>163</v>
      </c>
      <c r="BP41" s="209" t="s">
        <v>872</v>
      </c>
      <c r="BQ41" s="201" t="s">
        <v>490</v>
      </c>
      <c r="BR41" s="211" t="s">
        <v>1922</v>
      </c>
      <c r="BS41" s="52"/>
      <c r="BT41" s="209"/>
      <c r="BU41" s="201"/>
      <c r="BV41" s="70"/>
      <c r="BW41" s="60"/>
      <c r="BX41" s="71"/>
      <c r="BY41" s="210" t="s">
        <v>149</v>
      </c>
      <c r="BZ41" s="210"/>
      <c r="CA41" s="452" t="s">
        <v>1735</v>
      </c>
      <c r="CB41" s="212"/>
      <c r="CC41" s="212"/>
      <c r="CD41" s="213"/>
      <c r="CE41" s="214" t="s">
        <v>1923</v>
      </c>
      <c r="CF41" s="164" t="s">
        <v>875</v>
      </c>
      <c r="CG41" s="56"/>
      <c r="CH41" s="57"/>
      <c r="CI41" s="215" t="s">
        <v>146</v>
      </c>
      <c r="CJ41" s="52" t="s">
        <v>142</v>
      </c>
      <c r="CK41" s="52" t="s">
        <v>142</v>
      </c>
      <c r="CL41" s="52" t="s">
        <v>142</v>
      </c>
      <c r="CM41" s="52" t="s">
        <v>146</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216"/>
      <c r="DH41" s="216"/>
      <c r="DI41" s="74"/>
      <c r="DJ41" s="75"/>
      <c r="DK41" s="217" t="s">
        <v>146</v>
      </c>
      <c r="DL41" s="217" t="s">
        <v>146</v>
      </c>
      <c r="DM41" s="217" t="s">
        <v>146</v>
      </c>
      <c r="DN41" s="790"/>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40</v>
      </c>
      <c r="B42" s="333">
        <v>202609</v>
      </c>
      <c r="C42" s="50" t="s">
        <v>1924</v>
      </c>
      <c r="D42" s="197" t="s">
        <v>251</v>
      </c>
      <c r="E42" s="198">
        <v>5946</v>
      </c>
      <c r="F42" s="52" t="s">
        <v>1915</v>
      </c>
      <c r="G42" s="53" t="s">
        <v>1713</v>
      </c>
      <c r="H42" s="80" t="s">
        <v>1916</v>
      </c>
      <c r="I42" s="290" t="s">
        <v>1917</v>
      </c>
      <c r="J42" s="214"/>
      <c r="K42" s="56" t="s">
        <v>1925</v>
      </c>
      <c r="L42" s="55"/>
      <c r="M42" s="56" t="s">
        <v>1926</v>
      </c>
      <c r="N42" s="211" t="s">
        <v>1927</v>
      </c>
      <c r="O42" s="58" t="s">
        <v>146</v>
      </c>
      <c r="P42" s="450" t="s">
        <v>146</v>
      </c>
      <c r="Q42" s="214" t="s">
        <v>1600</v>
      </c>
      <c r="R42" s="77" t="str">
        <f>VLOOKUP(Sheet_1_Table_1_136[[#This Row],[Learning Domain]],[20]List!$A$7:$B$12,2,0)</f>
        <v>RE</v>
      </c>
      <c r="S42" s="55">
        <v>40</v>
      </c>
      <c r="T42" s="55">
        <v>0</v>
      </c>
      <c r="U42" s="55">
        <v>0</v>
      </c>
      <c r="V42" s="55">
        <v>0</v>
      </c>
      <c r="W42" s="55">
        <v>0</v>
      </c>
      <c r="X42" s="55">
        <v>0</v>
      </c>
      <c r="Y42" s="55">
        <v>0</v>
      </c>
      <c r="Z42" s="55">
        <v>0</v>
      </c>
      <c r="AA42" s="55">
        <v>60</v>
      </c>
      <c r="AB42" s="53">
        <f>SUM(Sheet_1_Table_1_136[[#This Row],[Leadership LS]:[Career Development  CR]])</f>
        <v>100</v>
      </c>
      <c r="AC42" s="52" t="s">
        <v>199</v>
      </c>
      <c r="AD42" s="201" t="s">
        <v>190</v>
      </c>
      <c r="AE42" s="201" t="s">
        <v>146</v>
      </c>
      <c r="AF42" s="201" t="s">
        <v>146</v>
      </c>
      <c r="AG42" s="201" t="s">
        <v>146</v>
      </c>
      <c r="AH42" s="201">
        <v>2</v>
      </c>
      <c r="AI42" s="55">
        <v>30</v>
      </c>
      <c r="AJ42" s="62">
        <f>SUM(Sheet_1_Table_1_136[[#This Row],[ILP Units Per Session]]*Sheet_1_Table_1_136[[#This Row],[Quota]])</f>
        <v>60</v>
      </c>
      <c r="AK42" s="203">
        <v>46287</v>
      </c>
      <c r="AL42" s="64" t="str">
        <f>TEXT(Sheet_1_Table_1_136[[#This Row],[Lesson 1 
Date 
(DD-MMM-YYYY)]], "ddd")</f>
        <v>Tue</v>
      </c>
      <c r="AM42" s="204">
        <v>0.77083333333333337</v>
      </c>
      <c r="AN42" s="205">
        <v>0.85416666666666663</v>
      </c>
      <c r="AO42" s="207" t="s">
        <v>1928</v>
      </c>
      <c r="AP42" s="68"/>
      <c r="AQ42" s="64">
        <f>WEEKDAY(Sheet_1_Table_1_136[[#This Row],[Lesson 2
Date 
(DD-MMM-YYYY)]])</f>
        <v>7</v>
      </c>
      <c r="AR42" s="65"/>
      <c r="AS42" s="66"/>
      <c r="AT42" s="126"/>
      <c r="AU42" s="63"/>
      <c r="AV42" s="64">
        <f>WEEKDAY(Sheet_1_Table_1_136[[#This Row],[Lesson 3
Date 
(DD-MMM-YYYY)]])</f>
        <v>7</v>
      </c>
      <c r="AW42" s="65"/>
      <c r="AX42" s="66"/>
      <c r="AY42" s="126"/>
      <c r="AZ42" s="98"/>
      <c r="BA42" s="64">
        <f>WEEKDAY(Sheet_1_Table_1_136[[#This Row],[Lesson 4
Date 
(DD-MMM-YYYY)]])</f>
        <v>7</v>
      </c>
      <c r="BB42" s="65"/>
      <c r="BC42" s="66"/>
      <c r="BD42" s="126"/>
      <c r="BE42" s="63"/>
      <c r="BF42" s="64">
        <f>WEEKDAY(Sheet_1_Table_1_136[[#This Row],[Lesson 5
Date 
(DD-MMM-YYYY)]])</f>
        <v>7</v>
      </c>
      <c r="BG42" s="65"/>
      <c r="BH42" s="66"/>
      <c r="BI42" s="126"/>
      <c r="BJ42" s="98"/>
      <c r="BK42" s="64">
        <f>WEEKDAY(Sheet_1_Table_1_136[[#This Row],[Lesson 6
Date 
(DD-MMM-YYYY)]])</f>
        <v>7</v>
      </c>
      <c r="BL42" s="65"/>
      <c r="BM42" s="66"/>
      <c r="BN42" s="99"/>
      <c r="BO42" s="208" t="s">
        <v>163</v>
      </c>
      <c r="BP42" s="209" t="s">
        <v>872</v>
      </c>
      <c r="BQ42" s="201" t="s">
        <v>490</v>
      </c>
      <c r="BR42" s="211" t="s">
        <v>1922</v>
      </c>
      <c r="BS42" s="52"/>
      <c r="BT42" s="209"/>
      <c r="BU42" s="201"/>
      <c r="BV42" s="70"/>
      <c r="BW42" s="60"/>
      <c r="BX42" s="71"/>
      <c r="BY42" s="210" t="s">
        <v>149</v>
      </c>
      <c r="BZ42" s="210"/>
      <c r="CA42" s="452" t="s">
        <v>1735</v>
      </c>
      <c r="CB42" s="212"/>
      <c r="CC42" s="212"/>
      <c r="CD42" s="213"/>
      <c r="CE42" s="214" t="s">
        <v>1923</v>
      </c>
      <c r="CF42" s="164" t="s">
        <v>875</v>
      </c>
      <c r="CG42" s="56"/>
      <c r="CH42" s="57"/>
      <c r="CI42" s="215" t="s">
        <v>146</v>
      </c>
      <c r="CJ42" s="52" t="s">
        <v>142</v>
      </c>
      <c r="CK42" s="52" t="s">
        <v>142</v>
      </c>
      <c r="CL42" s="52" t="s">
        <v>142</v>
      </c>
      <c r="CM42" s="52" t="s">
        <v>146</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216"/>
      <c r="DH42" s="216"/>
      <c r="DI42" s="74"/>
      <c r="DJ42" s="75"/>
      <c r="DK42" s="217" t="s">
        <v>146</v>
      </c>
      <c r="DL42" s="217" t="s">
        <v>146</v>
      </c>
      <c r="DM42" s="217" t="s">
        <v>146</v>
      </c>
      <c r="DN42" s="790"/>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41</v>
      </c>
      <c r="B43" s="333">
        <v>202609</v>
      </c>
      <c r="C43" s="50" t="s">
        <v>1929</v>
      </c>
      <c r="D43" s="50" t="s">
        <v>174</v>
      </c>
      <c r="E43" s="51">
        <v>5948</v>
      </c>
      <c r="F43" s="52" t="s">
        <v>1915</v>
      </c>
      <c r="G43" s="53" t="s">
        <v>1713</v>
      </c>
      <c r="H43" s="80" t="s">
        <v>1916</v>
      </c>
      <c r="I43" s="290" t="s">
        <v>1917</v>
      </c>
      <c r="J43" s="60"/>
      <c r="K43" s="56" t="s">
        <v>1930</v>
      </c>
      <c r="L43" s="55"/>
      <c r="M43" s="56" t="s">
        <v>1931</v>
      </c>
      <c r="N43" s="57" t="s">
        <v>1932</v>
      </c>
      <c r="O43" s="58" t="s">
        <v>146</v>
      </c>
      <c r="P43" s="450" t="s">
        <v>146</v>
      </c>
      <c r="Q43" s="214" t="s">
        <v>1600</v>
      </c>
      <c r="R43" s="61" t="str">
        <f>VLOOKUP(Sheet_1_Table_1_136[[#This Row],[Learning Domain]],[20]List!$A$7:$B$12,2,0)</f>
        <v>RE</v>
      </c>
      <c r="S43" s="55">
        <v>0</v>
      </c>
      <c r="T43" s="55">
        <v>0</v>
      </c>
      <c r="U43" s="55">
        <v>0</v>
      </c>
      <c r="V43" s="55">
        <v>0</v>
      </c>
      <c r="W43" s="55">
        <v>80</v>
      </c>
      <c r="X43" s="55">
        <v>0</v>
      </c>
      <c r="Y43" s="55">
        <v>0</v>
      </c>
      <c r="Z43" s="55">
        <v>0</v>
      </c>
      <c r="AA43" s="55">
        <v>20</v>
      </c>
      <c r="AB43" s="53">
        <f>SUM(Sheet_1_Table_1_136[[#This Row],[Leadership LS]:[Career Development  CR]])</f>
        <v>100</v>
      </c>
      <c r="AC43" s="52" t="s">
        <v>199</v>
      </c>
      <c r="AD43" s="55" t="s">
        <v>386</v>
      </c>
      <c r="AE43" s="201" t="s">
        <v>146</v>
      </c>
      <c r="AF43" s="201" t="s">
        <v>146</v>
      </c>
      <c r="AG43" s="201" t="s">
        <v>146</v>
      </c>
      <c r="AH43" s="55">
        <v>1.5</v>
      </c>
      <c r="AI43" s="55">
        <v>25</v>
      </c>
      <c r="AJ43" s="62">
        <f>Sheet_1_Table_1_136[[#This Row],[ILP Units Per Session]]*Sheet_1_Table_1_136[[#This Row],[Quota]]</f>
        <v>37.5</v>
      </c>
      <c r="AK43" s="63">
        <v>46316</v>
      </c>
      <c r="AL43" s="64" t="str">
        <f>TEXT(Sheet_1_Table_1_136[[#This Row],[Lesson 1 
Date 
(DD-MMM-YYYY)]], "ddd")</f>
        <v>Wed</v>
      </c>
      <c r="AM43" s="65">
        <v>0.83333333333333337</v>
      </c>
      <c r="AN43" s="66">
        <v>0.89583333333333337</v>
      </c>
      <c r="AO43" s="67" t="s">
        <v>182</v>
      </c>
      <c r="AP43" s="68"/>
      <c r="AQ43" s="64">
        <f>WEEKDAY(Sheet_1_Table_1_136[[#This Row],[Lesson 2
Date 
(DD-MMM-YYYY)]])</f>
        <v>7</v>
      </c>
      <c r="AR43" s="65"/>
      <c r="AS43" s="66"/>
      <c r="AT43" s="126"/>
      <c r="AU43" s="63"/>
      <c r="AV43" s="64">
        <f>WEEKDAY(Sheet_1_Table_1_136[[#This Row],[Lesson 3
Date 
(DD-MMM-YYYY)]])</f>
        <v>7</v>
      </c>
      <c r="AW43" s="65"/>
      <c r="AX43" s="66"/>
      <c r="AY43" s="126"/>
      <c r="AZ43" s="98"/>
      <c r="BA43" s="64">
        <f>WEEKDAY(Sheet_1_Table_1_136[[#This Row],[Lesson 4
Date 
(DD-MMM-YYYY)]])</f>
        <v>7</v>
      </c>
      <c r="BB43" s="65"/>
      <c r="BC43" s="66"/>
      <c r="BD43" s="126"/>
      <c r="BE43" s="63"/>
      <c r="BF43" s="64">
        <f>WEEKDAY(Sheet_1_Table_1_136[[#This Row],[Lesson 5
Date 
(DD-MMM-YYYY)]])</f>
        <v>7</v>
      </c>
      <c r="BG43" s="65"/>
      <c r="BH43" s="66"/>
      <c r="BI43" s="126"/>
      <c r="BJ43" s="98"/>
      <c r="BK43" s="64">
        <f>WEEKDAY(Sheet_1_Table_1_136[[#This Row],[Lesson 6
Date 
(DD-MMM-YYYY)]])</f>
        <v>7</v>
      </c>
      <c r="BL43" s="65"/>
      <c r="BM43" s="66"/>
      <c r="BN43" s="99"/>
      <c r="BO43" s="54" t="s">
        <v>163</v>
      </c>
      <c r="BP43" s="69" t="s">
        <v>1859</v>
      </c>
      <c r="BQ43" s="201" t="s">
        <v>1933</v>
      </c>
      <c r="BR43" s="57" t="s">
        <v>1934</v>
      </c>
      <c r="BS43" s="52"/>
      <c r="BT43" s="56"/>
      <c r="BU43" s="56"/>
      <c r="BV43" s="70"/>
      <c r="BW43" s="60"/>
      <c r="BX43" s="71"/>
      <c r="BY43" s="56" t="s">
        <v>184</v>
      </c>
      <c r="BZ43" s="56"/>
      <c r="CA43" s="452" t="s">
        <v>1735</v>
      </c>
      <c r="CB43" s="507" t="s">
        <v>1935</v>
      </c>
      <c r="CC43" s="72" t="s">
        <v>1936</v>
      </c>
      <c r="CD43" s="71">
        <v>50058953</v>
      </c>
      <c r="CE43" s="60" t="s">
        <v>1937</v>
      </c>
      <c r="CF43" s="164" t="s">
        <v>1938</v>
      </c>
      <c r="CG43" s="56"/>
      <c r="CH43" s="57"/>
      <c r="CI43" s="52" t="s">
        <v>146</v>
      </c>
      <c r="CJ43" s="52" t="s">
        <v>142</v>
      </c>
      <c r="CK43" s="52" t="s">
        <v>142</v>
      </c>
      <c r="CL43" s="52" t="s">
        <v>142</v>
      </c>
      <c r="CM43" s="52" t="s">
        <v>146</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N43" s="790"/>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42</v>
      </c>
      <c r="B44" s="333">
        <v>202609</v>
      </c>
      <c r="C44" s="50" t="s">
        <v>1939</v>
      </c>
      <c r="D44" s="50" t="s">
        <v>174</v>
      </c>
      <c r="E44" s="51">
        <v>5949</v>
      </c>
      <c r="F44" s="52" t="s">
        <v>1915</v>
      </c>
      <c r="G44" s="53" t="s">
        <v>1713</v>
      </c>
      <c r="H44" s="80" t="s">
        <v>1916</v>
      </c>
      <c r="I44" s="290" t="s">
        <v>1917</v>
      </c>
      <c r="J44" s="60"/>
      <c r="K44" s="56" t="s">
        <v>1940</v>
      </c>
      <c r="L44" s="55"/>
      <c r="M44" s="56" t="s">
        <v>1941</v>
      </c>
      <c r="N44" s="57" t="s">
        <v>1942</v>
      </c>
      <c r="O44" s="58" t="s">
        <v>146</v>
      </c>
      <c r="P44" s="450" t="s">
        <v>146</v>
      </c>
      <c r="Q44" s="214" t="s">
        <v>1600</v>
      </c>
      <c r="R44" s="61" t="str">
        <f>VLOOKUP(Sheet_1_Table_1_136[[#This Row],[Learning Domain]],[20]List!$A$7:$B$12,2,0)</f>
        <v>RE</v>
      </c>
      <c r="S44" s="55">
        <v>0</v>
      </c>
      <c r="T44" s="55">
        <v>0</v>
      </c>
      <c r="U44" s="55">
        <v>0</v>
      </c>
      <c r="V44" s="55">
        <v>0</v>
      </c>
      <c r="W44" s="55">
        <v>80</v>
      </c>
      <c r="X44" s="55">
        <v>0</v>
      </c>
      <c r="Y44" s="55">
        <v>0</v>
      </c>
      <c r="Z44" s="55">
        <v>0</v>
      </c>
      <c r="AA44" s="55">
        <v>20</v>
      </c>
      <c r="AB44" s="53">
        <f>SUM(Sheet_1_Table_1_136[[#This Row],[Leadership LS]:[Career Development  CR]])</f>
        <v>100</v>
      </c>
      <c r="AC44" s="52" t="s">
        <v>199</v>
      </c>
      <c r="AD44" s="55" t="s">
        <v>386</v>
      </c>
      <c r="AE44" s="201" t="s">
        <v>146</v>
      </c>
      <c r="AF44" s="201" t="s">
        <v>146</v>
      </c>
      <c r="AG44" s="201" t="s">
        <v>146</v>
      </c>
      <c r="AH44" s="55">
        <v>1.5</v>
      </c>
      <c r="AI44" s="55">
        <v>25</v>
      </c>
      <c r="AJ44" s="62">
        <f>Sheet_1_Table_1_136[[#This Row],[ILP Units Per Session]]*Sheet_1_Table_1_136[[#This Row],[Quota]]</f>
        <v>37.5</v>
      </c>
      <c r="AK44" s="63">
        <v>46317</v>
      </c>
      <c r="AL44" s="64">
        <f>WEEKDAY(Sheet_1_Table_1_136[[#This Row],[Lesson 1 
Date 
(DD-MMM-YYYY)]])</f>
        <v>5</v>
      </c>
      <c r="AM44" s="65">
        <v>0.83333333333333337</v>
      </c>
      <c r="AN44" s="66">
        <v>0.89583333333333337</v>
      </c>
      <c r="AO44" s="67" t="s">
        <v>182</v>
      </c>
      <c r="AP44" s="68"/>
      <c r="AQ44" s="64">
        <f>WEEKDAY(Sheet_1_Table_1_136[[#This Row],[Lesson 2
Date 
(DD-MMM-YYYY)]])</f>
        <v>7</v>
      </c>
      <c r="AR44" s="65"/>
      <c r="AS44" s="66"/>
      <c r="AT44" s="126"/>
      <c r="AU44" s="63"/>
      <c r="AV44" s="64">
        <f>WEEKDAY(Sheet_1_Table_1_136[[#This Row],[Lesson 3
Date 
(DD-MMM-YYYY)]])</f>
        <v>7</v>
      </c>
      <c r="AW44" s="65"/>
      <c r="AX44" s="66"/>
      <c r="AY44" s="126"/>
      <c r="AZ44" s="98"/>
      <c r="BA44" s="64">
        <f>WEEKDAY(Sheet_1_Table_1_136[[#This Row],[Lesson 4
Date 
(DD-MMM-YYYY)]])</f>
        <v>7</v>
      </c>
      <c r="BB44" s="65"/>
      <c r="BC44" s="66"/>
      <c r="BD44" s="126"/>
      <c r="BE44" s="63"/>
      <c r="BF44" s="64">
        <f>WEEKDAY(Sheet_1_Table_1_136[[#This Row],[Lesson 5
Date 
(DD-MMM-YYYY)]])</f>
        <v>7</v>
      </c>
      <c r="BG44" s="65"/>
      <c r="BH44" s="66"/>
      <c r="BI44" s="126"/>
      <c r="BJ44" s="98"/>
      <c r="BK44" s="64">
        <f>WEEKDAY(Sheet_1_Table_1_136[[#This Row],[Lesson 6
Date 
(DD-MMM-YYYY)]])</f>
        <v>7</v>
      </c>
      <c r="BL44" s="65"/>
      <c r="BM44" s="66"/>
      <c r="BN44" s="99"/>
      <c r="BO44" s="54" t="s">
        <v>163</v>
      </c>
      <c r="BP44" s="69" t="s">
        <v>1859</v>
      </c>
      <c r="BQ44" s="201" t="s">
        <v>1933</v>
      </c>
      <c r="BR44" s="57" t="s">
        <v>1934</v>
      </c>
      <c r="BS44" s="52"/>
      <c r="BT44" s="56"/>
      <c r="BU44" s="56"/>
      <c r="BV44" s="70"/>
      <c r="BW44" s="60"/>
      <c r="BX44" s="71"/>
      <c r="BY44" s="56"/>
      <c r="BZ44" s="56"/>
      <c r="CA44" s="452" t="s">
        <v>1735</v>
      </c>
      <c r="CB44" s="507" t="s">
        <v>1943</v>
      </c>
      <c r="CC44" s="72" t="s">
        <v>1944</v>
      </c>
      <c r="CD44" s="71">
        <v>84641366</v>
      </c>
      <c r="CE44" s="60" t="s">
        <v>1937</v>
      </c>
      <c r="CF44" s="71" t="s">
        <v>1938</v>
      </c>
      <c r="CG44" s="56"/>
      <c r="CH44" s="57"/>
      <c r="CI44" s="52" t="s">
        <v>146</v>
      </c>
      <c r="CJ44" s="52" t="s">
        <v>142</v>
      </c>
      <c r="CK44" s="52" t="s">
        <v>142</v>
      </c>
      <c r="CL44" s="52" t="s">
        <v>142</v>
      </c>
      <c r="CM44" s="52" t="s">
        <v>146</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N44" s="790"/>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741">
        <v>43</v>
      </c>
      <c r="B45" s="793">
        <v>202609</v>
      </c>
      <c r="C45" s="794" t="s">
        <v>1945</v>
      </c>
      <c r="D45" s="794" t="s">
        <v>174</v>
      </c>
      <c r="E45" s="795">
        <v>5950</v>
      </c>
      <c r="F45" s="796" t="s">
        <v>1915</v>
      </c>
      <c r="G45" s="797" t="s">
        <v>1713</v>
      </c>
      <c r="H45" s="798" t="s">
        <v>1916</v>
      </c>
      <c r="I45" s="799" t="s">
        <v>1917</v>
      </c>
      <c r="J45" s="800"/>
      <c r="K45" s="801" t="s">
        <v>1946</v>
      </c>
      <c r="L45" s="802"/>
      <c r="M45" s="801" t="s">
        <v>1947</v>
      </c>
      <c r="N45" s="803" t="s">
        <v>1948</v>
      </c>
      <c r="O45" s="804" t="s">
        <v>146</v>
      </c>
      <c r="P45" s="805" t="s">
        <v>146</v>
      </c>
      <c r="Q45" s="806" t="s">
        <v>1600</v>
      </c>
      <c r="R45" s="807" t="str">
        <f>VLOOKUP(Sheet_1_Table_1_136[[#This Row],[Learning Domain]],[20]List!$A$7:$B$12,2,0)</f>
        <v>RE</v>
      </c>
      <c r="S45" s="802">
        <v>0</v>
      </c>
      <c r="T45" s="802">
        <v>0</v>
      </c>
      <c r="U45" s="802">
        <v>60</v>
      </c>
      <c r="V45" s="802">
        <v>40</v>
      </c>
      <c r="W45" s="802">
        <v>0</v>
      </c>
      <c r="X45" s="802">
        <v>0</v>
      </c>
      <c r="Y45" s="802">
        <v>0</v>
      </c>
      <c r="Z45" s="802">
        <v>0</v>
      </c>
      <c r="AA45" s="802">
        <v>0</v>
      </c>
      <c r="AB45" s="797">
        <f>SUM(Sheet_1_Table_1_136[[#This Row],[Leadership LS]:[Career Development  CR]])</f>
        <v>100</v>
      </c>
      <c r="AC45" s="796" t="s">
        <v>199</v>
      </c>
      <c r="AD45" s="802" t="s">
        <v>190</v>
      </c>
      <c r="AE45" s="802" t="s">
        <v>142</v>
      </c>
      <c r="AF45" s="802" t="s">
        <v>146</v>
      </c>
      <c r="AG45" s="802" t="s">
        <v>146</v>
      </c>
      <c r="AH45" s="802">
        <v>1</v>
      </c>
      <c r="AI45" s="802">
        <v>15</v>
      </c>
      <c r="AJ45" s="808">
        <f>Sheet_1_Table_1_136[[#This Row],[ILP Units Per Session]]*Sheet_1_Table_1_136[[#This Row],[Quota]]</f>
        <v>15</v>
      </c>
      <c r="AK45" s="809">
        <v>46319</v>
      </c>
      <c r="AL45" s="810">
        <f>WEEKDAY(Sheet_1_Table_1_136[[#This Row],[Lesson 1 
Date 
(DD-MMM-YYYY)]])</f>
        <v>7</v>
      </c>
      <c r="AM45" s="811">
        <v>0.58333333333333337</v>
      </c>
      <c r="AN45" s="812">
        <v>0.625</v>
      </c>
      <c r="AO45" s="813" t="s">
        <v>1949</v>
      </c>
      <c r="AP45" s="814"/>
      <c r="AQ45" s="815">
        <f>WEEKDAY(Sheet_1_Table_1_136[[#This Row],[Lesson 2
Date 
(DD-MMM-YYYY)]])</f>
        <v>7</v>
      </c>
      <c r="AR45" s="811"/>
      <c r="AS45" s="812"/>
      <c r="AT45" s="816"/>
      <c r="AU45" s="809"/>
      <c r="AV45" s="815">
        <f>WEEKDAY(Sheet_1_Table_1_136[[#This Row],[Lesson 3
Date 
(DD-MMM-YYYY)]])</f>
        <v>7</v>
      </c>
      <c r="AW45" s="811"/>
      <c r="AX45" s="812"/>
      <c r="AY45" s="816"/>
      <c r="AZ45" s="817"/>
      <c r="BA45" s="815">
        <f>WEEKDAY(Sheet_1_Table_1_136[[#This Row],[Lesson 4
Date 
(DD-MMM-YYYY)]])</f>
        <v>7</v>
      </c>
      <c r="BB45" s="811"/>
      <c r="BC45" s="812"/>
      <c r="BD45" s="816"/>
      <c r="BE45" s="809"/>
      <c r="BF45" s="815">
        <f>WEEKDAY(Sheet_1_Table_1_136[[#This Row],[Lesson 5
Date 
(DD-MMM-YYYY)]])</f>
        <v>7</v>
      </c>
      <c r="BG45" s="811"/>
      <c r="BH45" s="812"/>
      <c r="BI45" s="816"/>
      <c r="BJ45" s="817"/>
      <c r="BK45" s="815">
        <f>WEEKDAY(Sheet_1_Table_1_136[[#This Row],[Lesson 6
Date 
(DD-MMM-YYYY)]])</f>
        <v>7</v>
      </c>
      <c r="BL45" s="811"/>
      <c r="BM45" s="812"/>
      <c r="BN45" s="818"/>
      <c r="BO45" s="819" t="s">
        <v>163</v>
      </c>
      <c r="BP45" s="820" t="s">
        <v>1950</v>
      </c>
      <c r="BQ45" s="821" t="s">
        <v>1951</v>
      </c>
      <c r="BR45" s="803" t="s">
        <v>1952</v>
      </c>
      <c r="BS45" s="796"/>
      <c r="BT45" s="801"/>
      <c r="BU45" s="801"/>
      <c r="BV45" s="822"/>
      <c r="BW45" s="800"/>
      <c r="BX45" s="823"/>
      <c r="BY45" s="801" t="s">
        <v>184</v>
      </c>
      <c r="BZ45" s="801"/>
      <c r="CA45" s="824" t="s">
        <v>1735</v>
      </c>
      <c r="CB45" s="825"/>
      <c r="CC45" s="825"/>
      <c r="CD45" s="823"/>
      <c r="CE45" s="800" t="s">
        <v>1953</v>
      </c>
      <c r="CF45" s="826" t="s">
        <v>1954</v>
      </c>
      <c r="CG45" s="801"/>
      <c r="CH45" s="803"/>
      <c r="CI45" s="796" t="s">
        <v>146</v>
      </c>
      <c r="CJ45" s="796" t="s">
        <v>142</v>
      </c>
      <c r="CK45" s="796" t="s">
        <v>142</v>
      </c>
      <c r="CL45" s="796" t="s">
        <v>146</v>
      </c>
      <c r="CM45" s="796" t="s">
        <v>146</v>
      </c>
      <c r="CN45" s="796" t="s">
        <v>142</v>
      </c>
      <c r="CO45" s="796" t="s">
        <v>142</v>
      </c>
      <c r="CP45" s="796" t="s">
        <v>142</v>
      </c>
      <c r="CQ45" s="796" t="s">
        <v>142</v>
      </c>
      <c r="CR45" s="796" t="s">
        <v>142</v>
      </c>
      <c r="CS45" s="796" t="s">
        <v>142</v>
      </c>
      <c r="CT45" s="796" t="s">
        <v>142</v>
      </c>
      <c r="CU45" s="796" t="s">
        <v>142</v>
      </c>
      <c r="CV45" s="796" t="s">
        <v>142</v>
      </c>
      <c r="CW45" s="796" t="s">
        <v>142</v>
      </c>
      <c r="CX45" s="796" t="s">
        <v>142</v>
      </c>
      <c r="CY45" s="796" t="s">
        <v>142</v>
      </c>
      <c r="CZ45" s="827" t="s">
        <v>142</v>
      </c>
      <c r="DA45" s="819" t="s">
        <v>154</v>
      </c>
      <c r="DB45" s="794" t="s">
        <v>155</v>
      </c>
      <c r="DC45" s="794" t="s">
        <v>156</v>
      </c>
      <c r="DD45" s="794" t="s">
        <v>146</v>
      </c>
      <c r="DE45" s="794" t="s">
        <v>157</v>
      </c>
      <c r="DF45" s="794" t="s">
        <v>146</v>
      </c>
      <c r="DG45" s="828"/>
      <c r="DH45" s="828"/>
      <c r="DI45" s="829"/>
      <c r="DJ45" s="830"/>
      <c r="DK45" s="831" t="s">
        <v>146</v>
      </c>
      <c r="DL45" s="831" t="s">
        <v>146</v>
      </c>
      <c r="DM45" s="831" t="s">
        <v>146</v>
      </c>
      <c r="DN45" s="790" t="s">
        <v>2233</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44</v>
      </c>
      <c r="B46" s="49">
        <v>202609</v>
      </c>
      <c r="C46" s="50" t="s">
        <v>1955</v>
      </c>
      <c r="D46" s="50" t="s">
        <v>251</v>
      </c>
      <c r="E46" s="51">
        <v>5951</v>
      </c>
      <c r="F46" s="461" t="s">
        <v>1956</v>
      </c>
      <c r="G46" s="53" t="s">
        <v>1713</v>
      </c>
      <c r="H46" s="80" t="s">
        <v>1957</v>
      </c>
      <c r="I46" s="290" t="s">
        <v>1958</v>
      </c>
      <c r="J46" s="141" t="s">
        <v>1959</v>
      </c>
      <c r="K46" s="69" t="s">
        <v>1877</v>
      </c>
      <c r="L46" s="55"/>
      <c r="M46" s="56" t="s">
        <v>1960</v>
      </c>
      <c r="N46" s="57" t="s">
        <v>1961</v>
      </c>
      <c r="O46" s="162" t="s">
        <v>142</v>
      </c>
      <c r="P46" s="178" t="s">
        <v>142</v>
      </c>
      <c r="Q46" s="60" t="s">
        <v>1600</v>
      </c>
      <c r="R46" s="61" t="str">
        <f>VLOOKUP(Sheet_1_Table_1_136[[#This Row],[Learning Domain]],[20]List!$A$7:$B$12,2,0)</f>
        <v>RE</v>
      </c>
      <c r="S46" s="55">
        <v>0</v>
      </c>
      <c r="T46" s="55">
        <v>0</v>
      </c>
      <c r="U46" s="55">
        <v>0</v>
      </c>
      <c r="V46" s="55">
        <v>100</v>
      </c>
      <c r="W46" s="55">
        <v>0</v>
      </c>
      <c r="X46" s="55">
        <v>0</v>
      </c>
      <c r="Y46" s="55">
        <v>0</v>
      </c>
      <c r="Z46" s="55">
        <v>0</v>
      </c>
      <c r="AA46" s="55">
        <v>0</v>
      </c>
      <c r="AB46" s="53">
        <f>SUM(Sheet_1_Table_1_136[[#This Row],[Leadership LS]:[Career Development  CR]])</f>
        <v>100</v>
      </c>
      <c r="AC46" s="52" t="s">
        <v>144</v>
      </c>
      <c r="AD46" s="55" t="s">
        <v>386</v>
      </c>
      <c r="AE46" s="55" t="s">
        <v>146</v>
      </c>
      <c r="AF46" s="55" t="s">
        <v>146</v>
      </c>
      <c r="AG46" s="55" t="s">
        <v>146</v>
      </c>
      <c r="AH46" s="55">
        <v>1.5</v>
      </c>
      <c r="AI46" s="55">
        <v>150</v>
      </c>
      <c r="AJ46" s="62">
        <f>Sheet_1_Table_1_136[[#This Row],[ILP Units Per Session]]*Sheet_1_Table_1_136[[#This Row],[Quota]]</f>
        <v>225</v>
      </c>
      <c r="AK46" s="508">
        <v>46282</v>
      </c>
      <c r="AL46" s="64">
        <f>WEEKDAY(Sheet_1_Table_1_136[[#This Row],[Lesson 1 
Date 
(DD-MMM-YYYY)]])</f>
        <v>5</v>
      </c>
      <c r="AM46" s="144">
        <v>0.85416666666666663</v>
      </c>
      <c r="AN46" s="145">
        <v>0.91666666666666663</v>
      </c>
      <c r="AO46" s="146" t="s">
        <v>182</v>
      </c>
      <c r="AP46" s="68"/>
      <c r="AQ46" s="64">
        <f>WEEKDAY(Sheet_1_Table_1_136[[#This Row],[Lesson 2
Date 
(DD-MMM-YYYY)]])</f>
        <v>7</v>
      </c>
      <c r="AR46" s="65"/>
      <c r="AS46" s="66"/>
      <c r="AT46" s="126"/>
      <c r="AU46" s="63"/>
      <c r="AV46" s="64">
        <f>WEEKDAY(Sheet_1_Table_1_136[[#This Row],[Lesson 3
Date 
(DD-MMM-YYYY)]])</f>
        <v>7</v>
      </c>
      <c r="AW46" s="65"/>
      <c r="AX46" s="66"/>
      <c r="AY46" s="126"/>
      <c r="AZ46" s="98"/>
      <c r="BA46" s="64">
        <f>WEEKDAY(Sheet_1_Table_1_136[[#This Row],[Lesson 4
Date 
(DD-MMM-YYYY)]])</f>
        <v>7</v>
      </c>
      <c r="BB46" s="65"/>
      <c r="BC46" s="66"/>
      <c r="BD46" s="126"/>
      <c r="BE46" s="63"/>
      <c r="BF46" s="64">
        <f>WEEKDAY(Sheet_1_Table_1_136[[#This Row],[Lesson 5
Date 
(DD-MMM-YYYY)]])</f>
        <v>7</v>
      </c>
      <c r="BG46" s="65"/>
      <c r="BH46" s="66"/>
      <c r="BI46" s="126"/>
      <c r="BJ46" s="98"/>
      <c r="BK46" s="64">
        <f>WEEKDAY(Sheet_1_Table_1_136[[#This Row],[Lesson 6
Date 
(DD-MMM-YYYY)]])</f>
        <v>7</v>
      </c>
      <c r="BL46" s="65"/>
      <c r="BM46" s="66"/>
      <c r="BN46" s="99"/>
      <c r="BO46" s="141" t="s">
        <v>289</v>
      </c>
      <c r="BP46" s="69" t="s">
        <v>1962</v>
      </c>
      <c r="BQ46" s="69" t="s">
        <v>1963</v>
      </c>
      <c r="BR46" s="137" t="s">
        <v>1964</v>
      </c>
      <c r="BS46" s="52"/>
      <c r="BT46" s="56"/>
      <c r="BU46" s="56"/>
      <c r="BV46" s="70"/>
      <c r="BW46" s="141"/>
      <c r="BX46" s="71"/>
      <c r="BY46" s="56"/>
      <c r="BZ46" s="56"/>
      <c r="CA46" s="56" t="s">
        <v>1894</v>
      </c>
      <c r="CB46" s="507"/>
      <c r="CC46" s="72"/>
      <c r="CD46" s="71"/>
      <c r="CE46" s="60" t="s">
        <v>1965</v>
      </c>
      <c r="CF46" s="164" t="s">
        <v>1966</v>
      </c>
      <c r="CG46" s="56"/>
      <c r="CH46" s="57"/>
      <c r="CI46" s="52" t="s">
        <v>142</v>
      </c>
      <c r="CJ46" s="52" t="s">
        <v>142</v>
      </c>
      <c r="CK46" s="52" t="s">
        <v>142</v>
      </c>
      <c r="CL46" s="52" t="s">
        <v>146</v>
      </c>
      <c r="CM46" s="52" t="s">
        <v>146</v>
      </c>
      <c r="CN46" s="52" t="s">
        <v>146</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N46" s="790"/>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80.099999999999994" customHeight="1">
      <c r="A47" s="48">
        <v>45</v>
      </c>
      <c r="B47" s="49">
        <v>202609</v>
      </c>
      <c r="C47" s="50" t="s">
        <v>1967</v>
      </c>
      <c r="D47" s="50" t="s">
        <v>174</v>
      </c>
      <c r="E47" s="51">
        <v>5952</v>
      </c>
      <c r="F47" s="461" t="s">
        <v>1956</v>
      </c>
      <c r="G47" s="53" t="s">
        <v>1713</v>
      </c>
      <c r="H47" s="80" t="s">
        <v>1957</v>
      </c>
      <c r="I47" s="290" t="s">
        <v>1958</v>
      </c>
      <c r="J47" s="141" t="s">
        <v>1968</v>
      </c>
      <c r="K47" s="69" t="s">
        <v>1969</v>
      </c>
      <c r="L47" s="55"/>
      <c r="M47" s="56" t="s">
        <v>1970</v>
      </c>
      <c r="N47" s="57" t="s">
        <v>1971</v>
      </c>
      <c r="O47" s="58" t="s">
        <v>146</v>
      </c>
      <c r="P47" s="59" t="s">
        <v>146</v>
      </c>
      <c r="Q47" s="60" t="s">
        <v>1600</v>
      </c>
      <c r="R47" s="61" t="str">
        <f>VLOOKUP(Sheet_1_Table_1_136[[#This Row],[Learning Domain]],[20]List!$A$7:$B$12,2,0)</f>
        <v>RE</v>
      </c>
      <c r="S47" s="55">
        <v>0</v>
      </c>
      <c r="T47" s="55">
        <v>0</v>
      </c>
      <c r="U47" s="55">
        <v>100</v>
      </c>
      <c r="V47" s="55">
        <v>0</v>
      </c>
      <c r="W47" s="55">
        <v>0</v>
      </c>
      <c r="X47" s="55">
        <v>0</v>
      </c>
      <c r="Y47" s="55">
        <v>0</v>
      </c>
      <c r="Z47" s="55">
        <v>0</v>
      </c>
      <c r="AA47" s="55">
        <v>0</v>
      </c>
      <c r="AB47" s="53">
        <f>SUM(Sheet_1_Table_1_136[[#This Row],[Leadership LS]:[Career Development  CR]])</f>
        <v>100</v>
      </c>
      <c r="AC47" s="52" t="s">
        <v>199</v>
      </c>
      <c r="AD47" s="55" t="s">
        <v>190</v>
      </c>
      <c r="AE47" s="55" t="s">
        <v>142</v>
      </c>
      <c r="AF47" s="55" t="s">
        <v>146</v>
      </c>
      <c r="AG47" s="55" t="s">
        <v>142</v>
      </c>
      <c r="AH47" s="55">
        <v>1</v>
      </c>
      <c r="AI47" s="55">
        <v>12</v>
      </c>
      <c r="AJ47" s="62">
        <f>Sheet_1_Table_1_136[[#This Row],[ILP Units Per Session]]*Sheet_1_Table_1_136[[#This Row],[Quota]]</f>
        <v>12</v>
      </c>
      <c r="AK47" s="142">
        <v>46297</v>
      </c>
      <c r="AL47" s="165">
        <f>WEEKDAY(Sheet_1_Table_1_136[[#This Row],[Lesson 1 
Date 
(DD-MMM-YYYY)]])</f>
        <v>6</v>
      </c>
      <c r="AM47" s="144">
        <v>0.80208333333333337</v>
      </c>
      <c r="AN47" s="145">
        <v>0.84375</v>
      </c>
      <c r="AO47" s="146" t="s">
        <v>1972</v>
      </c>
      <c r="AP47" s="68"/>
      <c r="AQ47" s="64">
        <f>WEEKDAY(Sheet_1_Table_1_136[[#This Row],[Lesson 2
Date 
(DD-MMM-YYYY)]])</f>
        <v>7</v>
      </c>
      <c r="AR47" s="65"/>
      <c r="AS47" s="66"/>
      <c r="AT47" s="126"/>
      <c r="AU47" s="63"/>
      <c r="AV47" s="64">
        <f>WEEKDAY(Sheet_1_Table_1_136[[#This Row],[Lesson 3
Date 
(DD-MMM-YYYY)]])</f>
        <v>7</v>
      </c>
      <c r="AW47" s="65"/>
      <c r="AX47" s="66"/>
      <c r="AY47" s="126"/>
      <c r="AZ47" s="98"/>
      <c r="BA47" s="64">
        <f>WEEKDAY(Sheet_1_Table_1_136[[#This Row],[Lesson 4
Date 
(DD-MMM-YYYY)]])</f>
        <v>7</v>
      </c>
      <c r="BB47" s="65"/>
      <c r="BC47" s="66"/>
      <c r="BD47" s="126"/>
      <c r="BE47" s="63"/>
      <c r="BF47" s="64">
        <f>WEEKDAY(Sheet_1_Table_1_136[[#This Row],[Lesson 5
Date 
(DD-MMM-YYYY)]])</f>
        <v>7</v>
      </c>
      <c r="BG47" s="65"/>
      <c r="BH47" s="66"/>
      <c r="BI47" s="126"/>
      <c r="BJ47" s="98"/>
      <c r="BK47" s="64">
        <f>WEEKDAY(Sheet_1_Table_1_136[[#This Row],[Lesson 6
Date 
(DD-MMM-YYYY)]])</f>
        <v>7</v>
      </c>
      <c r="BL47" s="65"/>
      <c r="BM47" s="66"/>
      <c r="BN47" s="99"/>
      <c r="BO47" s="141" t="s">
        <v>293</v>
      </c>
      <c r="BP47" s="69" t="s">
        <v>1973</v>
      </c>
      <c r="BQ47" s="69" t="s">
        <v>1974</v>
      </c>
      <c r="BR47" s="57" t="s">
        <v>1975</v>
      </c>
      <c r="BS47" s="509"/>
      <c r="BT47" s="510"/>
      <c r="BU47" s="510"/>
      <c r="BV47" s="511"/>
      <c r="BW47" s="141"/>
      <c r="BX47" s="512">
        <v>100</v>
      </c>
      <c r="BY47" s="513">
        <v>0.77083333333333337</v>
      </c>
      <c r="BZ47" s="69" t="s">
        <v>1976</v>
      </c>
      <c r="CA47" s="69" t="s">
        <v>1977</v>
      </c>
      <c r="CB47" s="514"/>
      <c r="CC47" s="514"/>
      <c r="CD47" s="515"/>
      <c r="CE47" s="60" t="s">
        <v>1978</v>
      </c>
      <c r="CF47" s="164" t="s">
        <v>1979</v>
      </c>
      <c r="CG47" s="510"/>
      <c r="CH47" s="516"/>
      <c r="CI47" s="52" t="s">
        <v>146</v>
      </c>
      <c r="CJ47" s="52" t="s">
        <v>142</v>
      </c>
      <c r="CK47" s="52" t="s">
        <v>142</v>
      </c>
      <c r="CL47" s="52" t="s">
        <v>146</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N47" s="790"/>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80.099999999999994" customHeight="1">
      <c r="A48" s="48">
        <v>46</v>
      </c>
      <c r="B48" s="49">
        <v>202609</v>
      </c>
      <c r="C48" s="517" t="s">
        <v>1980</v>
      </c>
      <c r="D48" s="50" t="s">
        <v>174</v>
      </c>
      <c r="E48" s="518">
        <v>5953</v>
      </c>
      <c r="F48" s="461" t="s">
        <v>1956</v>
      </c>
      <c r="G48" s="53" t="s">
        <v>1713</v>
      </c>
      <c r="H48" s="80" t="s">
        <v>1957</v>
      </c>
      <c r="I48" s="519" t="s">
        <v>1958</v>
      </c>
      <c r="J48" s="520" t="s">
        <v>1981</v>
      </c>
      <c r="K48" s="521" t="s">
        <v>1982</v>
      </c>
      <c r="L48" s="55"/>
      <c r="M48" s="521" t="s">
        <v>1983</v>
      </c>
      <c r="N48" s="522" t="s">
        <v>1984</v>
      </c>
      <c r="O48" s="58" t="s">
        <v>146</v>
      </c>
      <c r="P48" s="523" t="s">
        <v>146</v>
      </c>
      <c r="Q48" s="60" t="s">
        <v>1600</v>
      </c>
      <c r="R48" s="77" t="str">
        <f>VLOOKUP(Sheet_1_Table_1_136[[#This Row],[Learning Domain]],[20]List!$A$7:$B$12,2,0)</f>
        <v>RE</v>
      </c>
      <c r="S48" s="521">
        <v>0</v>
      </c>
      <c r="T48" s="521">
        <v>0</v>
      </c>
      <c r="U48" s="521">
        <v>0</v>
      </c>
      <c r="V48" s="521">
        <v>50</v>
      </c>
      <c r="W48" s="521">
        <v>0</v>
      </c>
      <c r="X48" s="521">
        <v>0</v>
      </c>
      <c r="Y48" s="521">
        <v>50</v>
      </c>
      <c r="Z48" s="521">
        <v>0</v>
      </c>
      <c r="AA48" s="521">
        <v>0</v>
      </c>
      <c r="AB48" s="53">
        <f>SUM(Sheet_1_Table_1_136[[#This Row],[Leadership LS]:[Career Development  CR]])</f>
        <v>100</v>
      </c>
      <c r="AC48" s="524" t="s">
        <v>199</v>
      </c>
      <c r="AD48" s="525" t="s">
        <v>190</v>
      </c>
      <c r="AE48" s="525" t="s">
        <v>142</v>
      </c>
      <c r="AF48" s="525" t="s">
        <v>146</v>
      </c>
      <c r="AG48" s="525" t="s">
        <v>142</v>
      </c>
      <c r="AH48" s="525">
        <v>2</v>
      </c>
      <c r="AI48" s="521">
        <v>10</v>
      </c>
      <c r="AJ48" s="62">
        <f>Sheet_1_Table_1_136[[#This Row],[ILP Units Per Session]]*Sheet_1_Table_1_136[[#This Row],[Quota]]</f>
        <v>20</v>
      </c>
      <c r="AK48" s="526">
        <v>46304</v>
      </c>
      <c r="AL48" s="64">
        <f>WEEKDAY(Sheet_1_Table_1_136[[#This Row],[Lesson 1 
Date 
(DD-MMM-YYYY)]])</f>
        <v>6</v>
      </c>
      <c r="AM48" s="527">
        <v>0.75</v>
      </c>
      <c r="AN48" s="528">
        <v>0.83333333333333337</v>
      </c>
      <c r="AO48" s="529" t="s">
        <v>1985</v>
      </c>
      <c r="AP48" s="68"/>
      <c r="AQ48" s="64">
        <f>WEEKDAY(Sheet_1_Table_1_136[[#This Row],[Lesson 2
Date 
(DD-MMM-YYYY)]])</f>
        <v>7</v>
      </c>
      <c r="AR48" s="65"/>
      <c r="AS48" s="66"/>
      <c r="AT48" s="126"/>
      <c r="AU48" s="63"/>
      <c r="AV48" s="64">
        <f>WEEKDAY(Sheet_1_Table_1_136[[#This Row],[Lesson 3
Date 
(DD-MMM-YYYY)]])</f>
        <v>7</v>
      </c>
      <c r="AW48" s="65"/>
      <c r="AX48" s="66"/>
      <c r="AY48" s="126"/>
      <c r="AZ48" s="98"/>
      <c r="BA48" s="64">
        <f>WEEKDAY(Sheet_1_Table_1_136[[#This Row],[Lesson 4
Date 
(DD-MMM-YYYY)]])</f>
        <v>7</v>
      </c>
      <c r="BB48" s="65"/>
      <c r="BC48" s="66"/>
      <c r="BD48" s="126"/>
      <c r="BE48" s="63"/>
      <c r="BF48" s="64">
        <f>WEEKDAY(Sheet_1_Table_1_136[[#This Row],[Lesson 5
Date 
(DD-MMM-YYYY)]])</f>
        <v>7</v>
      </c>
      <c r="BG48" s="65"/>
      <c r="BH48" s="66"/>
      <c r="BI48" s="126"/>
      <c r="BJ48" s="98"/>
      <c r="BK48" s="64">
        <f>WEEKDAY(Sheet_1_Table_1_136[[#This Row],[Lesson 6
Date 
(DD-MMM-YYYY)]])</f>
        <v>7</v>
      </c>
      <c r="BL48" s="65"/>
      <c r="BM48" s="66"/>
      <c r="BN48" s="99"/>
      <c r="BO48" s="520" t="s">
        <v>163</v>
      </c>
      <c r="BP48" s="525" t="s">
        <v>1986</v>
      </c>
      <c r="BQ48" s="525" t="s">
        <v>487</v>
      </c>
      <c r="BR48" s="522" t="s">
        <v>1987</v>
      </c>
      <c r="BS48" s="524"/>
      <c r="BT48" s="525"/>
      <c r="BU48" s="525"/>
      <c r="BV48" s="530"/>
      <c r="BW48" s="531"/>
      <c r="BX48" s="532"/>
      <c r="BY48" s="525" t="s">
        <v>149</v>
      </c>
      <c r="BZ48" s="525"/>
      <c r="CA48" s="521" t="s">
        <v>1735</v>
      </c>
      <c r="CB48" s="533"/>
      <c r="CC48" s="533"/>
      <c r="CD48" s="534"/>
      <c r="CE48" s="520" t="s">
        <v>1988</v>
      </c>
      <c r="CF48" s="535" t="s">
        <v>1989</v>
      </c>
      <c r="CG48" s="521"/>
      <c r="CH48" s="536"/>
      <c r="CI48" s="533" t="s">
        <v>146</v>
      </c>
      <c r="CJ48" s="524" t="s">
        <v>142</v>
      </c>
      <c r="CK48" s="524" t="s">
        <v>142</v>
      </c>
      <c r="CL48" s="524" t="s">
        <v>146</v>
      </c>
      <c r="CM48" s="524" t="s">
        <v>142</v>
      </c>
      <c r="CN48" s="524" t="s">
        <v>142</v>
      </c>
      <c r="CO48" s="524" t="s">
        <v>142</v>
      </c>
      <c r="CP48" s="524" t="s">
        <v>142</v>
      </c>
      <c r="CQ48" s="524" t="s">
        <v>142</v>
      </c>
      <c r="CR48" s="524" t="s">
        <v>142</v>
      </c>
      <c r="CS48" s="524" t="s">
        <v>142</v>
      </c>
      <c r="CT48" s="524" t="s">
        <v>146</v>
      </c>
      <c r="CU48" s="524" t="s">
        <v>142</v>
      </c>
      <c r="CV48" s="524" t="s">
        <v>142</v>
      </c>
      <c r="CW48" s="524" t="s">
        <v>142</v>
      </c>
      <c r="CX48" s="524" t="s">
        <v>142</v>
      </c>
      <c r="CY48" s="524" t="s">
        <v>142</v>
      </c>
      <c r="CZ48" s="530" t="s">
        <v>142</v>
      </c>
      <c r="DA48" s="54" t="s">
        <v>154</v>
      </c>
      <c r="DB48" s="50" t="s">
        <v>155</v>
      </c>
      <c r="DC48" s="50" t="s">
        <v>156</v>
      </c>
      <c r="DD48" s="50" t="s">
        <v>146</v>
      </c>
      <c r="DE48" s="50" t="s">
        <v>157</v>
      </c>
      <c r="DF48" s="50" t="s">
        <v>146</v>
      </c>
      <c r="DG48" s="73"/>
      <c r="DH48" s="73"/>
      <c r="DI48" s="74"/>
      <c r="DJ48" s="75"/>
      <c r="DK48" s="76" t="s">
        <v>146</v>
      </c>
      <c r="DL48" s="76" t="s">
        <v>146</v>
      </c>
      <c r="DM48" s="76" t="s">
        <v>146</v>
      </c>
      <c r="DN48" s="790"/>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80.099999999999994" customHeight="1">
      <c r="A49" s="48">
        <v>47</v>
      </c>
      <c r="B49" s="49">
        <v>202609</v>
      </c>
      <c r="C49" s="50" t="s">
        <v>1990</v>
      </c>
      <c r="D49" s="50" t="s">
        <v>174</v>
      </c>
      <c r="E49" s="51">
        <v>5954</v>
      </c>
      <c r="F49" s="461" t="s">
        <v>1956</v>
      </c>
      <c r="G49" s="53" t="s">
        <v>1713</v>
      </c>
      <c r="H49" s="80" t="s">
        <v>1957</v>
      </c>
      <c r="I49" s="290" t="s">
        <v>1958</v>
      </c>
      <c r="J49" s="141"/>
      <c r="K49" s="69" t="s">
        <v>1991</v>
      </c>
      <c r="L49" s="55"/>
      <c r="M49" s="56" t="s">
        <v>1992</v>
      </c>
      <c r="N49" s="57" t="s">
        <v>1993</v>
      </c>
      <c r="O49" s="58" t="s">
        <v>146</v>
      </c>
      <c r="P49" s="59" t="s">
        <v>146</v>
      </c>
      <c r="Q49" s="60" t="s">
        <v>1600</v>
      </c>
      <c r="R49" s="61" t="str">
        <f>VLOOKUP(Sheet_1_Table_1_136[[#This Row],[Learning Domain]],[20]List!$A$7:$B$12,2,0)</f>
        <v>RE</v>
      </c>
      <c r="S49" s="55">
        <v>0</v>
      </c>
      <c r="T49" s="55">
        <v>0</v>
      </c>
      <c r="U49" s="55">
        <v>0</v>
      </c>
      <c r="V49" s="55">
        <v>100</v>
      </c>
      <c r="W49" s="55">
        <v>0</v>
      </c>
      <c r="X49" s="55">
        <v>0</v>
      </c>
      <c r="Y49" s="55">
        <v>0</v>
      </c>
      <c r="Z49" s="55">
        <v>0</v>
      </c>
      <c r="AA49" s="55">
        <v>0</v>
      </c>
      <c r="AB49" s="53">
        <f>SUM(Sheet_1_Table_1_136[[#This Row],[Leadership LS]:[Career Development  CR]])</f>
        <v>100</v>
      </c>
      <c r="AC49" s="52" t="s">
        <v>199</v>
      </c>
      <c r="AD49" s="55" t="s">
        <v>190</v>
      </c>
      <c r="AE49" s="55" t="s">
        <v>142</v>
      </c>
      <c r="AF49" s="55" t="s">
        <v>146</v>
      </c>
      <c r="AG49" s="55" t="s">
        <v>142</v>
      </c>
      <c r="AH49" s="55">
        <v>1.5</v>
      </c>
      <c r="AI49" s="55">
        <v>15</v>
      </c>
      <c r="AJ49" s="62">
        <f>Sheet_1_Table_1_136[[#This Row],[ILP Units Per Session]]*Sheet_1_Table_1_136[[#This Row],[Quota]]</f>
        <v>22.5</v>
      </c>
      <c r="AK49" s="142">
        <v>46307</v>
      </c>
      <c r="AL49" s="165">
        <f>WEEKDAY(Sheet_1_Table_1_136[[#This Row],[Lesson 1 
Date 
(DD-MMM-YYYY)]])</f>
        <v>2</v>
      </c>
      <c r="AM49" s="144">
        <v>0.83333333333333337</v>
      </c>
      <c r="AN49" s="145">
        <v>0.89583333333333337</v>
      </c>
      <c r="AO49" s="146" t="s">
        <v>1985</v>
      </c>
      <c r="AP49" s="68"/>
      <c r="AQ49" s="64">
        <f>WEEKDAY(Sheet_1_Table_1_136[[#This Row],[Lesson 2
Date 
(DD-MMM-YYYY)]])</f>
        <v>7</v>
      </c>
      <c r="AR49" s="65"/>
      <c r="AS49" s="66"/>
      <c r="AT49" s="126"/>
      <c r="AU49" s="63"/>
      <c r="AV49" s="64">
        <f>WEEKDAY(Sheet_1_Table_1_136[[#This Row],[Lesson 3
Date 
(DD-MMM-YYYY)]])</f>
        <v>7</v>
      </c>
      <c r="AW49" s="65"/>
      <c r="AX49" s="66"/>
      <c r="AY49" s="126"/>
      <c r="AZ49" s="98"/>
      <c r="BA49" s="64">
        <f>WEEKDAY(Sheet_1_Table_1_136[[#This Row],[Lesson 4
Date 
(DD-MMM-YYYY)]])</f>
        <v>7</v>
      </c>
      <c r="BB49" s="65"/>
      <c r="BC49" s="66"/>
      <c r="BD49" s="126"/>
      <c r="BE49" s="63"/>
      <c r="BF49" s="64">
        <f>WEEKDAY(Sheet_1_Table_1_136[[#This Row],[Lesson 5
Date 
(DD-MMM-YYYY)]])</f>
        <v>7</v>
      </c>
      <c r="BG49" s="65"/>
      <c r="BH49" s="66"/>
      <c r="BI49" s="126"/>
      <c r="BJ49" s="98"/>
      <c r="BK49" s="64">
        <f>WEEKDAY(Sheet_1_Table_1_136[[#This Row],[Lesson 6
Date 
(DD-MMM-YYYY)]])</f>
        <v>7</v>
      </c>
      <c r="BL49" s="65"/>
      <c r="BM49" s="66"/>
      <c r="BN49" s="99"/>
      <c r="BO49" s="141" t="s">
        <v>293</v>
      </c>
      <c r="BP49" s="69" t="s">
        <v>1994</v>
      </c>
      <c r="BQ49" s="69" t="s">
        <v>422</v>
      </c>
      <c r="BR49" s="57" t="s">
        <v>1995</v>
      </c>
      <c r="BS49" s="52"/>
      <c r="BT49" s="56"/>
      <c r="BU49" s="56"/>
      <c r="BV49" s="70"/>
      <c r="BW49" s="537">
        <v>100</v>
      </c>
      <c r="BX49" s="151"/>
      <c r="BY49" s="69" t="s">
        <v>149</v>
      </c>
      <c r="BZ49" s="69"/>
      <c r="CA49" s="55" t="s">
        <v>1735</v>
      </c>
      <c r="CB49" s="72"/>
      <c r="CC49" s="72"/>
      <c r="CD49" s="71"/>
      <c r="CE49" s="60" t="s">
        <v>1996</v>
      </c>
      <c r="CF49" s="164" t="s">
        <v>1997</v>
      </c>
      <c r="CG49" s="56"/>
      <c r="CH49" s="57"/>
      <c r="CI49" s="52" t="s">
        <v>146</v>
      </c>
      <c r="CJ49" s="52" t="s">
        <v>142</v>
      </c>
      <c r="CK49" s="52" t="s">
        <v>142</v>
      </c>
      <c r="CL49" s="52" t="s">
        <v>146</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N49" s="790"/>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80.099999999999994" customHeight="1">
      <c r="A50" s="48">
        <v>48</v>
      </c>
      <c r="B50" s="49">
        <v>202609</v>
      </c>
      <c r="C50" s="50" t="s">
        <v>1998</v>
      </c>
      <c r="D50" s="50" t="s">
        <v>174</v>
      </c>
      <c r="E50" s="51">
        <v>5955</v>
      </c>
      <c r="F50" s="461" t="s">
        <v>1956</v>
      </c>
      <c r="G50" s="53" t="s">
        <v>1713</v>
      </c>
      <c r="H50" s="80" t="s">
        <v>1957</v>
      </c>
      <c r="I50" s="290" t="s">
        <v>1958</v>
      </c>
      <c r="J50" s="531" t="s">
        <v>1999</v>
      </c>
      <c r="K50" s="521" t="s">
        <v>2000</v>
      </c>
      <c r="L50" s="55"/>
      <c r="M50" s="56" t="s">
        <v>2001</v>
      </c>
      <c r="N50" s="57" t="s">
        <v>2002</v>
      </c>
      <c r="O50" s="538" t="s">
        <v>146</v>
      </c>
      <c r="P50" s="539" t="s">
        <v>146</v>
      </c>
      <c r="Q50" s="214" t="s">
        <v>1600</v>
      </c>
      <c r="R50" s="61" t="str">
        <f>VLOOKUP(Sheet_1_Table_1_136[[#This Row],[Learning Domain]],[20]List!$A$7:$B$12,2,0)</f>
        <v>RE</v>
      </c>
      <c r="S50" s="55">
        <v>20</v>
      </c>
      <c r="T50" s="55">
        <v>0</v>
      </c>
      <c r="U50" s="55">
        <v>0</v>
      </c>
      <c r="V50" s="55">
        <v>60</v>
      </c>
      <c r="W50" s="55">
        <v>10</v>
      </c>
      <c r="X50" s="55">
        <v>10</v>
      </c>
      <c r="Y50" s="55">
        <v>0</v>
      </c>
      <c r="Z50" s="55">
        <v>0</v>
      </c>
      <c r="AA50" s="55">
        <v>0</v>
      </c>
      <c r="AB50" s="53">
        <f>SUM(Sheet_1_Table_1_136[[#This Row],[Leadership LS]:[Career Development  CR]])</f>
        <v>100</v>
      </c>
      <c r="AC50" s="52" t="s">
        <v>2003</v>
      </c>
      <c r="AD50" s="55" t="s">
        <v>190</v>
      </c>
      <c r="AE50" s="55" t="s">
        <v>146</v>
      </c>
      <c r="AF50" s="55" t="s">
        <v>142</v>
      </c>
      <c r="AG50" s="55" t="s">
        <v>142</v>
      </c>
      <c r="AH50" s="55">
        <v>1.5</v>
      </c>
      <c r="AI50" s="55">
        <v>20</v>
      </c>
      <c r="AJ50" s="62">
        <f>Sheet_1_Table_1_136[[#This Row],[ILP Units Per Session]]*Sheet_1_Table_1_136[[#This Row],[Quota]]</f>
        <v>30</v>
      </c>
      <c r="AK50" s="142">
        <v>46324</v>
      </c>
      <c r="AL50" s="64">
        <f>WEEKDAY(Sheet_1_Table_1_136[[#This Row],[Lesson 1 
Date 
(DD-MMM-YYYY)]])</f>
        <v>5</v>
      </c>
      <c r="AM50" s="144">
        <v>0.79166666666666663</v>
      </c>
      <c r="AN50" s="145">
        <v>0.85416666666666663</v>
      </c>
      <c r="AO50" s="146" t="s">
        <v>2004</v>
      </c>
      <c r="AP50" s="68"/>
      <c r="AQ50" s="64">
        <f>WEEKDAY(Sheet_1_Table_1_136[[#This Row],[Lesson 2
Date 
(DD-MMM-YYYY)]])</f>
        <v>7</v>
      </c>
      <c r="AR50" s="65"/>
      <c r="AS50" s="66"/>
      <c r="AT50" s="126"/>
      <c r="AU50" s="63"/>
      <c r="AV50" s="64">
        <f>WEEKDAY(Sheet_1_Table_1_136[[#This Row],[Lesson 3
Date 
(DD-MMM-YYYY)]])</f>
        <v>7</v>
      </c>
      <c r="AW50" s="65"/>
      <c r="AX50" s="66"/>
      <c r="AY50" s="126"/>
      <c r="AZ50" s="98"/>
      <c r="BA50" s="64">
        <f>WEEKDAY(Sheet_1_Table_1_136[[#This Row],[Lesson 4
Date 
(DD-MMM-YYYY)]])</f>
        <v>7</v>
      </c>
      <c r="BB50" s="65"/>
      <c r="BC50" s="66"/>
      <c r="BD50" s="126"/>
      <c r="BE50" s="63"/>
      <c r="BF50" s="64">
        <f>WEEKDAY(Sheet_1_Table_1_136[[#This Row],[Lesson 5
Date 
(DD-MMM-YYYY)]])</f>
        <v>7</v>
      </c>
      <c r="BG50" s="65"/>
      <c r="BH50" s="66"/>
      <c r="BI50" s="126"/>
      <c r="BJ50" s="98"/>
      <c r="BK50" s="64">
        <f>WEEKDAY(Sheet_1_Table_1_136[[#This Row],[Lesson 6
Date 
(DD-MMM-YYYY)]])</f>
        <v>7</v>
      </c>
      <c r="BL50" s="65"/>
      <c r="BM50" s="66"/>
      <c r="BN50" s="99"/>
      <c r="BO50" s="141" t="s">
        <v>293</v>
      </c>
      <c r="BP50" s="69" t="s">
        <v>2005</v>
      </c>
      <c r="BQ50" s="69" t="s">
        <v>2006</v>
      </c>
      <c r="BR50" s="57" t="s">
        <v>1987</v>
      </c>
      <c r="BS50" s="52"/>
      <c r="BT50" s="56"/>
      <c r="BU50" s="56"/>
      <c r="BV50" s="70"/>
      <c r="BW50" s="141"/>
      <c r="BX50" s="151"/>
      <c r="BY50" s="69" t="s">
        <v>149</v>
      </c>
      <c r="BZ50" s="69"/>
      <c r="CA50" s="532" t="s">
        <v>1735</v>
      </c>
      <c r="CB50" s="72"/>
      <c r="CC50" s="72"/>
      <c r="CD50" s="71"/>
      <c r="CE50" s="60" t="s">
        <v>2007</v>
      </c>
      <c r="CF50" s="164" t="s">
        <v>2008</v>
      </c>
      <c r="CG50" s="56"/>
      <c r="CH50" s="57"/>
      <c r="CI50" s="52" t="s">
        <v>142</v>
      </c>
      <c r="CJ50" s="52" t="s">
        <v>142</v>
      </c>
      <c r="CK50" s="52" t="s">
        <v>142</v>
      </c>
      <c r="CL50" s="52" t="s">
        <v>146</v>
      </c>
      <c r="CM50" s="52" t="s">
        <v>142</v>
      </c>
      <c r="CN50" s="52" t="s">
        <v>146</v>
      </c>
      <c r="CO50" s="52" t="s">
        <v>142</v>
      </c>
      <c r="CP50" s="52" t="s">
        <v>142</v>
      </c>
      <c r="CQ50" s="52" t="s">
        <v>142</v>
      </c>
      <c r="CR50" s="52" t="s">
        <v>142</v>
      </c>
      <c r="CS50" s="52" t="s">
        <v>142</v>
      </c>
      <c r="CT50" s="52" t="s">
        <v>142</v>
      </c>
      <c r="CU50" s="52" t="s">
        <v>142</v>
      </c>
      <c r="CV50" s="52" t="s">
        <v>142</v>
      </c>
      <c r="CW50" s="52" t="s">
        <v>142</v>
      </c>
      <c r="CX50" s="52" t="s">
        <v>142</v>
      </c>
      <c r="CY50" s="52" t="s">
        <v>146</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N50" s="790"/>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80.099999999999994" customHeight="1">
      <c r="A51" s="48">
        <v>49</v>
      </c>
      <c r="B51" s="49">
        <v>202609</v>
      </c>
      <c r="C51" s="50" t="s">
        <v>2009</v>
      </c>
      <c r="D51" s="50" t="s">
        <v>205</v>
      </c>
      <c r="E51" s="51">
        <v>5956</v>
      </c>
      <c r="F51" s="461" t="s">
        <v>1956</v>
      </c>
      <c r="G51" s="53" t="s">
        <v>1713</v>
      </c>
      <c r="H51" s="80" t="s">
        <v>1957</v>
      </c>
      <c r="I51" s="290" t="s">
        <v>1958</v>
      </c>
      <c r="J51" s="60" t="s">
        <v>2010</v>
      </c>
      <c r="K51" s="55" t="s">
        <v>2011</v>
      </c>
      <c r="L51" s="55"/>
      <c r="M51" s="56" t="s">
        <v>2012</v>
      </c>
      <c r="N51" s="57" t="s">
        <v>2013</v>
      </c>
      <c r="O51" s="54" t="s">
        <v>146</v>
      </c>
      <c r="P51" s="59" t="s">
        <v>146</v>
      </c>
      <c r="Q51" s="214" t="s">
        <v>1600</v>
      </c>
      <c r="R51" s="77" t="str">
        <f>VLOOKUP(Sheet_1_Table_1_136[[#This Row],[Learning Domain]],[20]List!$A$7:$B$12,2,0)</f>
        <v>RE</v>
      </c>
      <c r="S51" s="55">
        <v>0</v>
      </c>
      <c r="T51" s="55">
        <v>0</v>
      </c>
      <c r="U51" s="55">
        <v>0</v>
      </c>
      <c r="V51" s="55">
        <v>100</v>
      </c>
      <c r="W51" s="55">
        <v>0</v>
      </c>
      <c r="X51" s="55">
        <v>0</v>
      </c>
      <c r="Y51" s="55">
        <v>0</v>
      </c>
      <c r="Z51" s="55">
        <v>0</v>
      </c>
      <c r="AA51" s="55">
        <v>0</v>
      </c>
      <c r="AB51" s="53">
        <f>SUM(Sheet_1_Table_1_136[[#This Row],[Leadership LS]:[Career Development  CR]])</f>
        <v>100</v>
      </c>
      <c r="AC51" s="52" t="s">
        <v>199</v>
      </c>
      <c r="AD51" s="55" t="s">
        <v>190</v>
      </c>
      <c r="AE51" s="55" t="s">
        <v>142</v>
      </c>
      <c r="AF51" s="55" t="s">
        <v>146</v>
      </c>
      <c r="AG51" s="55" t="s">
        <v>142</v>
      </c>
      <c r="AH51" s="55">
        <v>1</v>
      </c>
      <c r="AI51" s="55">
        <v>10</v>
      </c>
      <c r="AJ51" s="62">
        <f>Sheet_1_Table_1_136[[#This Row],[ILP Units Per Session]]*Sheet_1_Table_1_136[[#This Row],[Quota]]</f>
        <v>10</v>
      </c>
      <c r="AK51" s="142">
        <v>46339</v>
      </c>
      <c r="AL51" s="64">
        <f>WEEKDAY(Sheet_1_Table_1_136[[#This Row],[Lesson 1 
Date 
(DD-MMM-YYYY)]])</f>
        <v>6</v>
      </c>
      <c r="AM51" s="144">
        <v>0.8125</v>
      </c>
      <c r="AN51" s="145">
        <v>0.85416666666666663</v>
      </c>
      <c r="AO51" s="146" t="s">
        <v>2014</v>
      </c>
      <c r="AP51" s="68"/>
      <c r="AQ51" s="64">
        <f>WEEKDAY(Sheet_1_Table_1_136[[#This Row],[Lesson 2
Date 
(DD-MMM-YYYY)]])</f>
        <v>7</v>
      </c>
      <c r="AR51" s="65"/>
      <c r="AS51" s="66"/>
      <c r="AT51" s="126"/>
      <c r="AU51" s="63"/>
      <c r="AV51" s="64">
        <f>WEEKDAY(Sheet_1_Table_1_136[[#This Row],[Lesson 3
Date 
(DD-MMM-YYYY)]])</f>
        <v>7</v>
      </c>
      <c r="AW51" s="65"/>
      <c r="AX51" s="66"/>
      <c r="AY51" s="126"/>
      <c r="AZ51" s="98"/>
      <c r="BA51" s="64">
        <f>WEEKDAY(Sheet_1_Table_1_136[[#This Row],[Lesson 4
Date 
(DD-MMM-YYYY)]])</f>
        <v>7</v>
      </c>
      <c r="BB51" s="65"/>
      <c r="BC51" s="66"/>
      <c r="BD51" s="126"/>
      <c r="BE51" s="63"/>
      <c r="BF51" s="64">
        <f>WEEKDAY(Sheet_1_Table_1_136[[#This Row],[Lesson 5
Date 
(DD-MMM-YYYY)]])</f>
        <v>7</v>
      </c>
      <c r="BG51" s="65"/>
      <c r="BH51" s="66"/>
      <c r="BI51" s="126"/>
      <c r="BJ51" s="98"/>
      <c r="BK51" s="64">
        <f>WEEKDAY(Sheet_1_Table_1_136[[#This Row],[Lesson 6
Date 
(DD-MMM-YYYY)]])</f>
        <v>7</v>
      </c>
      <c r="BL51" s="65"/>
      <c r="BM51" s="66"/>
      <c r="BN51" s="99"/>
      <c r="BO51" s="60" t="s">
        <v>163</v>
      </c>
      <c r="BP51" s="56" t="s">
        <v>2015</v>
      </c>
      <c r="BQ51" s="69" t="s">
        <v>1311</v>
      </c>
      <c r="BR51" s="57" t="s">
        <v>2016</v>
      </c>
      <c r="BS51" s="52"/>
      <c r="BT51" s="56"/>
      <c r="BU51" s="56"/>
      <c r="BV51" s="70"/>
      <c r="BW51" s="141"/>
      <c r="BX51" s="151"/>
      <c r="BY51" s="56"/>
      <c r="BZ51" s="56"/>
      <c r="CA51" s="55" t="s">
        <v>1735</v>
      </c>
      <c r="CB51" s="72"/>
      <c r="CC51" s="72"/>
      <c r="CD51" s="71"/>
      <c r="CE51" s="60" t="s">
        <v>1965</v>
      </c>
      <c r="CF51" s="164" t="s">
        <v>1966</v>
      </c>
      <c r="CG51" s="56"/>
      <c r="CH51" s="57"/>
      <c r="CI51" s="52" t="s">
        <v>142</v>
      </c>
      <c r="CJ51" s="52" t="s">
        <v>142</v>
      </c>
      <c r="CK51" s="52" t="s">
        <v>142</v>
      </c>
      <c r="CL51" s="52" t="s">
        <v>146</v>
      </c>
      <c r="CM51" s="52" t="s">
        <v>146</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N51" s="790"/>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80.099999999999994" customHeight="1">
      <c r="A52" s="48">
        <v>50</v>
      </c>
      <c r="B52" s="49">
        <v>202609</v>
      </c>
      <c r="C52" s="50" t="s">
        <v>2017</v>
      </c>
      <c r="D52" s="50" t="s">
        <v>133</v>
      </c>
      <c r="E52" s="51">
        <v>5957</v>
      </c>
      <c r="F52" s="461" t="s">
        <v>2018</v>
      </c>
      <c r="G52" s="462" t="s">
        <v>1713</v>
      </c>
      <c r="H52" s="191" t="s">
        <v>2019</v>
      </c>
      <c r="I52" s="199" t="s">
        <v>2020</v>
      </c>
      <c r="J52" s="60"/>
      <c r="K52" s="55" t="s">
        <v>2021</v>
      </c>
      <c r="L52" s="55"/>
      <c r="M52" s="56" t="s">
        <v>2022</v>
      </c>
      <c r="N52" s="57" t="s">
        <v>2023</v>
      </c>
      <c r="O52" s="58" t="s">
        <v>142</v>
      </c>
      <c r="P52" s="96" t="s">
        <v>142</v>
      </c>
      <c r="Q52" s="214" t="s">
        <v>1600</v>
      </c>
      <c r="R52" s="61" t="str">
        <f>VLOOKUP(Sheet_1_Table_1_136[[#This Row],[Learning Domain]],[20]List!$A$7:$B$12,2,0)</f>
        <v>RE</v>
      </c>
      <c r="S52" s="55">
        <v>0</v>
      </c>
      <c r="T52" s="55">
        <v>0</v>
      </c>
      <c r="U52" s="55">
        <v>0</v>
      </c>
      <c r="V52" s="55">
        <v>80</v>
      </c>
      <c r="W52" s="55">
        <v>0</v>
      </c>
      <c r="X52" s="55">
        <v>20</v>
      </c>
      <c r="Y52" s="55">
        <v>0</v>
      </c>
      <c r="Z52" s="55">
        <v>0</v>
      </c>
      <c r="AA52" s="55">
        <v>0</v>
      </c>
      <c r="AB52" s="53">
        <v>100</v>
      </c>
      <c r="AC52" s="52" t="s">
        <v>144</v>
      </c>
      <c r="AD52" s="55" t="s">
        <v>190</v>
      </c>
      <c r="AE52" s="55" t="s">
        <v>146</v>
      </c>
      <c r="AF52" s="55" t="s">
        <v>146</v>
      </c>
      <c r="AG52" s="55" t="s">
        <v>146</v>
      </c>
      <c r="AH52" s="55">
        <v>1</v>
      </c>
      <c r="AI52" s="55">
        <v>60</v>
      </c>
      <c r="AJ52" s="62">
        <f>Sheet_1_Table_1_136[[#This Row],[ILP Units Per Session]]*Sheet_1_Table_1_136[[#This Row],[Quota]]</f>
        <v>60</v>
      </c>
      <c r="AK52" s="63">
        <v>46269</v>
      </c>
      <c r="AL52" s="64">
        <f>WEEKDAY(Sheet_1_Table_1_136[[#This Row],[Lesson 1 
Date 
(DD-MMM-YYYY)]])</f>
        <v>6</v>
      </c>
      <c r="AM52" s="65">
        <v>0.83333333333333337</v>
      </c>
      <c r="AN52" s="66">
        <v>0.875</v>
      </c>
      <c r="AO52" s="431" t="s">
        <v>2024</v>
      </c>
      <c r="AP52" s="68"/>
      <c r="AQ52" s="64" t="e">
        <f>WEEKDAY([22]!Sheet_1_Table_1_13[[#This Row],[Lesson 2
Date 
(DD-MMM-YYYY)]])</f>
        <v>#REF!</v>
      </c>
      <c r="AR52" s="65"/>
      <c r="AS52" s="66"/>
      <c r="AT52" s="66"/>
      <c r="AU52" s="63"/>
      <c r="AV52" s="64" t="e">
        <f>WEEKDAY([22]!Sheet_1_Table_1_13[[#This Row],[Lesson 3
Date 
(DD-MMM-YYYY)]])</f>
        <v>#REF!</v>
      </c>
      <c r="AW52" s="65"/>
      <c r="AX52" s="66"/>
      <c r="AY52" s="67"/>
      <c r="AZ52" s="68"/>
      <c r="BA52" s="64" t="e">
        <f>WEEKDAY([22]!Sheet_1_Table_1_13[[#This Row],[Lesson 4
Date 
(DD-MMM-YYYY)]])</f>
        <v>#REF!</v>
      </c>
      <c r="BB52" s="65"/>
      <c r="BC52" s="66"/>
      <c r="BD52" s="66"/>
      <c r="BE52" s="63"/>
      <c r="BF52" s="64" t="e">
        <f>WEEKDAY([22]!Sheet_1_Table_1_13[[#This Row],[Lesson 5
Date 
(DD-MMM-YYYY)]])</f>
        <v>#REF!</v>
      </c>
      <c r="BG52" s="65"/>
      <c r="BH52" s="66"/>
      <c r="BI52" s="67"/>
      <c r="BJ52" s="68"/>
      <c r="BK52" s="64" t="e">
        <f>WEEKDAY([22]!Sheet_1_Table_1_13[[#This Row],[Lesson 6
Date 
(DD-MMM-YYYY)]])</f>
        <v>#REF!</v>
      </c>
      <c r="BL52" s="65"/>
      <c r="BM52" s="66"/>
      <c r="BN52" s="66"/>
      <c r="BO52" s="54"/>
      <c r="BP52" s="55" t="s">
        <v>2025</v>
      </c>
      <c r="BQ52" s="55"/>
      <c r="BR52" s="57" t="s">
        <v>184</v>
      </c>
      <c r="BS52" s="52"/>
      <c r="BT52" s="56"/>
      <c r="BU52" s="56"/>
      <c r="BV52" s="70"/>
      <c r="BW52" s="60"/>
      <c r="BX52" s="71"/>
      <c r="BY52" s="56" t="s">
        <v>149</v>
      </c>
      <c r="BZ52" s="56"/>
      <c r="CA52" s="56" t="s">
        <v>149</v>
      </c>
      <c r="CB52" s="72"/>
      <c r="CC52" s="72"/>
      <c r="CD52" s="71"/>
      <c r="CE52" s="54" t="s">
        <v>2026</v>
      </c>
      <c r="CF52" s="470" t="s">
        <v>2027</v>
      </c>
      <c r="CG52" s="56"/>
      <c r="CH52" s="57"/>
      <c r="CI52" s="52" t="s">
        <v>146</v>
      </c>
      <c r="CJ52" s="52" t="s">
        <v>142</v>
      </c>
      <c r="CK52" s="52" t="s">
        <v>142</v>
      </c>
      <c r="CL52" s="52" t="s">
        <v>146</v>
      </c>
      <c r="CM52" s="52" t="s">
        <v>146</v>
      </c>
      <c r="CN52" s="52" t="s">
        <v>142</v>
      </c>
      <c r="CO52" s="52" t="s">
        <v>142</v>
      </c>
      <c r="CP52" s="52" t="s">
        <v>142</v>
      </c>
      <c r="CQ52" s="52" t="s">
        <v>142</v>
      </c>
      <c r="CR52" s="52" t="s">
        <v>142</v>
      </c>
      <c r="CS52" s="52" t="s">
        <v>142</v>
      </c>
      <c r="CT52" s="52" t="s">
        <v>142</v>
      </c>
      <c r="CU52" s="52" t="s">
        <v>142</v>
      </c>
      <c r="CV52" s="52" t="s">
        <v>142</v>
      </c>
      <c r="CW52" s="52" t="s">
        <v>142</v>
      </c>
      <c r="CX52" s="52" t="s">
        <v>142</v>
      </c>
      <c r="CY52" s="52" t="s">
        <v>142</v>
      </c>
      <c r="CZ52" s="59" t="s">
        <v>142</v>
      </c>
      <c r="DA52" s="54" t="s">
        <v>154</v>
      </c>
      <c r="DB52" s="50" t="s">
        <v>155</v>
      </c>
      <c r="DC52" s="50" t="s">
        <v>156</v>
      </c>
      <c r="DD52" s="50" t="s">
        <v>146</v>
      </c>
      <c r="DE52" s="50" t="s">
        <v>157</v>
      </c>
      <c r="DF52" s="50" t="s">
        <v>146</v>
      </c>
      <c r="DG52" s="73"/>
      <c r="DH52" s="73"/>
      <c r="DI52" s="74"/>
      <c r="DJ52" s="75"/>
      <c r="DK52" s="76" t="s">
        <v>146</v>
      </c>
      <c r="DL52" s="76" t="s">
        <v>146</v>
      </c>
      <c r="DM52" s="76" t="s">
        <v>146</v>
      </c>
      <c r="DN52" s="790"/>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row>
    <row r="53" spans="1:156" ht="80.099999999999994" customHeight="1">
      <c r="A53" s="48">
        <v>51</v>
      </c>
      <c r="B53" s="49">
        <v>202609</v>
      </c>
      <c r="C53" s="197" t="s">
        <v>2028</v>
      </c>
      <c r="D53" s="197" t="s">
        <v>251</v>
      </c>
      <c r="E53" s="198">
        <v>5958</v>
      </c>
      <c r="F53" s="461" t="s">
        <v>2018</v>
      </c>
      <c r="G53" s="462" t="s">
        <v>1713</v>
      </c>
      <c r="H53" s="191" t="s">
        <v>2019</v>
      </c>
      <c r="I53" s="199" t="s">
        <v>2020</v>
      </c>
      <c r="J53" s="55" t="s">
        <v>2029</v>
      </c>
      <c r="K53" s="55" t="s">
        <v>2030</v>
      </c>
      <c r="L53" s="55"/>
      <c r="M53" s="56" t="s">
        <v>2031</v>
      </c>
      <c r="N53" s="211" t="s">
        <v>2032</v>
      </c>
      <c r="O53" s="58" t="s">
        <v>146</v>
      </c>
      <c r="P53" s="59" t="s">
        <v>146</v>
      </c>
      <c r="Q53" s="214" t="s">
        <v>1600</v>
      </c>
      <c r="R53" s="61" t="str">
        <f>VLOOKUP(Sheet_1_Table_1_136[[#This Row],[Learning Domain]],[20]List!$A$7:$B$12,2,0)</f>
        <v>RE</v>
      </c>
      <c r="S53" s="55">
        <v>0</v>
      </c>
      <c r="T53" s="55">
        <v>0</v>
      </c>
      <c r="U53" s="55">
        <v>60</v>
      </c>
      <c r="V53" s="55">
        <v>20</v>
      </c>
      <c r="W53" s="55">
        <v>0</v>
      </c>
      <c r="X53" s="55">
        <v>20</v>
      </c>
      <c r="Y53" s="55">
        <v>0</v>
      </c>
      <c r="Z53" s="55">
        <v>0</v>
      </c>
      <c r="AA53" s="55">
        <v>0</v>
      </c>
      <c r="AB53" s="53">
        <v>100</v>
      </c>
      <c r="AC53" s="52" t="s">
        <v>199</v>
      </c>
      <c r="AD53" s="201" t="s">
        <v>190</v>
      </c>
      <c r="AE53" s="201" t="s">
        <v>146</v>
      </c>
      <c r="AF53" s="201" t="s">
        <v>146</v>
      </c>
      <c r="AG53" s="201" t="s">
        <v>146</v>
      </c>
      <c r="AH53" s="201">
        <v>1</v>
      </c>
      <c r="AI53" s="55">
        <v>20</v>
      </c>
      <c r="AJ53" s="62">
        <f>Sheet_1_Table_1_136[[#This Row],[ILP Units Per Session]]*Sheet_1_Table_1_136[[#This Row],[Quota]]</f>
        <v>20</v>
      </c>
      <c r="AK53" s="203">
        <v>46287</v>
      </c>
      <c r="AL53" s="64">
        <f>WEEKDAY(Sheet_1_Table_1_136[[#This Row],[Lesson 1 
Date 
(DD-MMM-YYYY)]])</f>
        <v>3</v>
      </c>
      <c r="AM53" s="204">
        <v>0.83333333333333337</v>
      </c>
      <c r="AN53" s="205">
        <v>0.875</v>
      </c>
      <c r="AO53" s="431" t="s">
        <v>2024</v>
      </c>
      <c r="AP53" s="68"/>
      <c r="AQ53" s="64" t="e">
        <f>WEEKDAY([22]!Sheet_1_Table_1_13[[#This Row],[Lesson 2
Date 
(DD-MMM-YYYY)]])</f>
        <v>#REF!</v>
      </c>
      <c r="AR53" s="65"/>
      <c r="AS53" s="66"/>
      <c r="AT53" s="66"/>
      <c r="AU53" s="203"/>
      <c r="AV53" s="165" t="e">
        <f>WEEKDAY([22]!Sheet_1_Table_1_13[[#This Row],[Lesson 3
Date 
(DD-MMM-YYYY)]])</f>
        <v>#REF!</v>
      </c>
      <c r="AW53" s="204"/>
      <c r="AX53" s="205"/>
      <c r="AY53" s="207"/>
      <c r="AZ53" s="68"/>
      <c r="BA53" s="64" t="e">
        <f>WEEKDAY([22]!Sheet_1_Table_1_13[[#This Row],[Lesson 4
Date 
(DD-MMM-YYYY)]])</f>
        <v>#REF!</v>
      </c>
      <c r="BB53" s="65"/>
      <c r="BC53" s="66"/>
      <c r="BD53" s="66"/>
      <c r="BE53" s="203"/>
      <c r="BF53" s="165" t="e">
        <f>WEEKDAY([22]!Sheet_1_Table_1_13[[#This Row],[Lesson 5
Date 
(DD-MMM-YYYY)]])</f>
        <v>#REF!</v>
      </c>
      <c r="BG53" s="204"/>
      <c r="BH53" s="205"/>
      <c r="BI53" s="207"/>
      <c r="BJ53" s="68"/>
      <c r="BK53" s="165" t="e">
        <f>WEEKDAY([22]!Sheet_1_Table_1_13[[#This Row],[Lesson 6
Date 
(DD-MMM-YYYY)]])</f>
        <v>#REF!</v>
      </c>
      <c r="BL53" s="204"/>
      <c r="BM53" s="205"/>
      <c r="BN53" s="205"/>
      <c r="BO53" s="540" t="s">
        <v>289</v>
      </c>
      <c r="BP53" s="541" t="s">
        <v>520</v>
      </c>
      <c r="BQ53" s="541" t="s">
        <v>1749</v>
      </c>
      <c r="BR53" s="542" t="s">
        <v>2033</v>
      </c>
      <c r="BS53" s="52"/>
      <c r="BT53" s="210"/>
      <c r="BU53" s="210"/>
      <c r="BV53" s="70"/>
      <c r="BW53" s="60"/>
      <c r="BX53" s="71"/>
      <c r="BY53" s="210" t="s">
        <v>184</v>
      </c>
      <c r="BZ53" s="210"/>
      <c r="CA53" s="210" t="s">
        <v>2034</v>
      </c>
      <c r="CB53" s="212"/>
      <c r="CC53" s="212"/>
      <c r="CD53" s="213"/>
      <c r="CE53" s="543" t="s">
        <v>2035</v>
      </c>
      <c r="CF53" s="544" t="s">
        <v>2036</v>
      </c>
      <c r="CG53" s="56"/>
      <c r="CH53" s="57"/>
      <c r="CI53" s="215" t="s">
        <v>146</v>
      </c>
      <c r="CJ53" s="52" t="s">
        <v>142</v>
      </c>
      <c r="CK53" s="52" t="s">
        <v>142</v>
      </c>
      <c r="CL53" s="52" t="s">
        <v>146</v>
      </c>
      <c r="CM53" s="52" t="s">
        <v>142</v>
      </c>
      <c r="CN53" s="52" t="s">
        <v>142</v>
      </c>
      <c r="CO53" s="52" t="s">
        <v>142</v>
      </c>
      <c r="CP53" s="52" t="s">
        <v>142</v>
      </c>
      <c r="CQ53" s="52" t="s">
        <v>142</v>
      </c>
      <c r="CR53" s="52" t="s">
        <v>142</v>
      </c>
      <c r="CS53" s="52" t="s">
        <v>142</v>
      </c>
      <c r="CT53" s="52" t="s">
        <v>142</v>
      </c>
      <c r="CU53" s="52" t="s">
        <v>142</v>
      </c>
      <c r="CV53" s="52" t="s">
        <v>142</v>
      </c>
      <c r="CW53" s="52" t="s">
        <v>142</v>
      </c>
      <c r="CX53" s="52" t="s">
        <v>142</v>
      </c>
      <c r="CY53" s="52" t="s">
        <v>142</v>
      </c>
      <c r="CZ53" s="59" t="s">
        <v>142</v>
      </c>
      <c r="DA53" s="54" t="s">
        <v>154</v>
      </c>
      <c r="DB53" s="50" t="s">
        <v>155</v>
      </c>
      <c r="DC53" s="50" t="s">
        <v>156</v>
      </c>
      <c r="DD53" s="50" t="s">
        <v>146</v>
      </c>
      <c r="DE53" s="50" t="s">
        <v>157</v>
      </c>
      <c r="DF53" s="50" t="s">
        <v>146</v>
      </c>
      <c r="DG53" s="73"/>
      <c r="DH53" s="73"/>
      <c r="DI53" s="74"/>
      <c r="DJ53" s="75"/>
      <c r="DK53" s="76" t="s">
        <v>146</v>
      </c>
      <c r="DL53" s="76" t="s">
        <v>146</v>
      </c>
      <c r="DM53" s="76" t="s">
        <v>146</v>
      </c>
      <c r="DN53" s="790"/>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row>
    <row r="54" spans="1:156" ht="90">
      <c r="A54" s="48">
        <v>52</v>
      </c>
      <c r="B54" s="49">
        <v>202609</v>
      </c>
      <c r="C54" s="50" t="s">
        <v>2037</v>
      </c>
      <c r="D54" s="50" t="s">
        <v>251</v>
      </c>
      <c r="E54" s="198">
        <v>5959</v>
      </c>
      <c r="F54" s="461" t="s">
        <v>2018</v>
      </c>
      <c r="G54" s="462" t="s">
        <v>1713</v>
      </c>
      <c r="H54" s="191" t="s">
        <v>2019</v>
      </c>
      <c r="I54" s="199" t="s">
        <v>2020</v>
      </c>
      <c r="J54" s="55" t="s">
        <v>2038</v>
      </c>
      <c r="K54" s="55" t="s">
        <v>2039</v>
      </c>
      <c r="L54" s="55"/>
      <c r="M54" s="56" t="s">
        <v>2040</v>
      </c>
      <c r="N54" s="211" t="s">
        <v>2041</v>
      </c>
      <c r="O54" s="58" t="s">
        <v>146</v>
      </c>
      <c r="P54" s="59" t="s">
        <v>146</v>
      </c>
      <c r="Q54" s="214" t="s">
        <v>1600</v>
      </c>
      <c r="R54" s="61" t="str">
        <f>VLOOKUP(Sheet_1_Table_1_136[[#This Row],[Learning Domain]],[20]List!$A$7:$B$12,2,0)</f>
        <v>RE</v>
      </c>
      <c r="S54" s="55">
        <v>20</v>
      </c>
      <c r="T54" s="55">
        <v>0</v>
      </c>
      <c r="U54" s="55">
        <v>0</v>
      </c>
      <c r="V54" s="55">
        <v>20</v>
      </c>
      <c r="W54" s="55">
        <v>0</v>
      </c>
      <c r="X54" s="55">
        <v>60</v>
      </c>
      <c r="Y54" s="55">
        <v>0</v>
      </c>
      <c r="Z54" s="55">
        <v>0</v>
      </c>
      <c r="AA54" s="55">
        <v>0</v>
      </c>
      <c r="AB54" s="53">
        <v>100</v>
      </c>
      <c r="AC54" s="52" t="s">
        <v>199</v>
      </c>
      <c r="AD54" s="201" t="s">
        <v>190</v>
      </c>
      <c r="AE54" s="201" t="s">
        <v>146</v>
      </c>
      <c r="AF54" s="201" t="s">
        <v>146</v>
      </c>
      <c r="AG54" s="201" t="s">
        <v>146</v>
      </c>
      <c r="AH54" s="201">
        <v>1</v>
      </c>
      <c r="AI54" s="55">
        <v>20</v>
      </c>
      <c r="AJ54" s="62">
        <f>Sheet_1_Table_1_136[[#This Row],[ILP Units Per Session]]*Sheet_1_Table_1_136[[#This Row],[Quota]]</f>
        <v>20</v>
      </c>
      <c r="AK54" s="203">
        <v>46294</v>
      </c>
      <c r="AL54" s="64">
        <f>WEEKDAY(Sheet_1_Table_1_136[[#This Row],[Lesson 1 
Date 
(DD-MMM-YYYY)]])</f>
        <v>3</v>
      </c>
      <c r="AM54" s="204">
        <v>0.83333333333333337</v>
      </c>
      <c r="AN54" s="205">
        <v>0.875</v>
      </c>
      <c r="AO54" s="67" t="s">
        <v>2042</v>
      </c>
      <c r="AP54" s="68"/>
      <c r="AQ54" s="64" t="e">
        <f>WEEKDAY([22]!Sheet_1_Table_1_13[[#This Row],[Lesson 2
Date 
(DD-MMM-YYYY)]])</f>
        <v>#REF!</v>
      </c>
      <c r="AR54" s="65"/>
      <c r="AS54" s="66"/>
      <c r="AT54" s="66"/>
      <c r="AU54" s="203"/>
      <c r="AV54" s="165" t="e">
        <f>WEEKDAY([22]!Sheet_1_Table_1_13[[#This Row],[Lesson 3
Date 
(DD-MMM-YYYY)]])</f>
        <v>#REF!</v>
      </c>
      <c r="AW54" s="204"/>
      <c r="AX54" s="205"/>
      <c r="AY54" s="207"/>
      <c r="AZ54" s="68"/>
      <c r="BA54" s="64" t="e">
        <f>WEEKDAY([22]!Sheet_1_Table_1_13[[#This Row],[Lesson 4
Date 
(DD-MMM-YYYY)]])</f>
        <v>#REF!</v>
      </c>
      <c r="BB54" s="65"/>
      <c r="BC54" s="66"/>
      <c r="BD54" s="66"/>
      <c r="BE54" s="203"/>
      <c r="BF54" s="165" t="e">
        <f>WEEKDAY([22]!Sheet_1_Table_1_13[[#This Row],[Lesson 5
Date 
(DD-MMM-YYYY)]])</f>
        <v>#REF!</v>
      </c>
      <c r="BG54" s="204"/>
      <c r="BH54" s="205"/>
      <c r="BI54" s="207"/>
      <c r="BJ54" s="68"/>
      <c r="BK54" s="165" t="e">
        <f>WEEKDAY([22]!Sheet_1_Table_1_13[[#This Row],[Lesson 6
Date 
(DD-MMM-YYYY)]])</f>
        <v>#REF!</v>
      </c>
      <c r="BL54" s="204"/>
      <c r="BM54" s="205"/>
      <c r="BN54" s="205"/>
      <c r="BO54" s="540" t="s">
        <v>289</v>
      </c>
      <c r="BP54" s="541" t="s">
        <v>520</v>
      </c>
      <c r="BQ54" s="541" t="s">
        <v>1749</v>
      </c>
      <c r="BR54" s="542" t="s">
        <v>2033</v>
      </c>
      <c r="BS54" s="52"/>
      <c r="BT54" s="210"/>
      <c r="BU54" s="210"/>
      <c r="BV54" s="70"/>
      <c r="BW54" s="60"/>
      <c r="BX54" s="71"/>
      <c r="BY54" s="210"/>
      <c r="BZ54" s="210"/>
      <c r="CA54" s="210" t="s">
        <v>2034</v>
      </c>
      <c r="CB54" s="212"/>
      <c r="CC54" s="212"/>
      <c r="CD54" s="213"/>
      <c r="CE54" s="543" t="s">
        <v>2035</v>
      </c>
      <c r="CF54" s="544" t="s">
        <v>2036</v>
      </c>
      <c r="CG54" s="56"/>
      <c r="CH54" s="57"/>
      <c r="CI54" s="215" t="s">
        <v>146</v>
      </c>
      <c r="CJ54" s="52" t="s">
        <v>142</v>
      </c>
      <c r="CK54" s="52" t="s">
        <v>142</v>
      </c>
      <c r="CL54" s="52" t="s">
        <v>146</v>
      </c>
      <c r="CM54" s="52" t="s">
        <v>142</v>
      </c>
      <c r="CN54" s="52" t="s">
        <v>142</v>
      </c>
      <c r="CO54" s="52" t="s">
        <v>142</v>
      </c>
      <c r="CP54" s="52" t="s">
        <v>142</v>
      </c>
      <c r="CQ54" s="52" t="s">
        <v>142</v>
      </c>
      <c r="CR54" s="52" t="s">
        <v>142</v>
      </c>
      <c r="CS54" s="52" t="s">
        <v>142</v>
      </c>
      <c r="CT54" s="52" t="s">
        <v>142</v>
      </c>
      <c r="CU54" s="52" t="s">
        <v>142</v>
      </c>
      <c r="CV54" s="52" t="s">
        <v>142</v>
      </c>
      <c r="CW54" s="52" t="s">
        <v>142</v>
      </c>
      <c r="CX54" s="52" t="s">
        <v>142</v>
      </c>
      <c r="CY54" s="52" t="s">
        <v>142</v>
      </c>
      <c r="CZ54" s="59" t="s">
        <v>142</v>
      </c>
      <c r="DA54" s="54"/>
      <c r="DB54" s="50"/>
      <c r="DC54" s="50"/>
      <c r="DD54" s="50"/>
      <c r="DE54" s="50"/>
      <c r="DF54" s="50"/>
      <c r="DG54" s="73"/>
      <c r="DH54" s="73"/>
      <c r="DI54" s="73"/>
      <c r="DJ54" s="73"/>
      <c r="DK54" s="76" t="s">
        <v>146</v>
      </c>
      <c r="DL54" s="76" t="s">
        <v>146</v>
      </c>
      <c r="DM54" s="76" t="s">
        <v>146</v>
      </c>
      <c r="DN54" s="790"/>
    </row>
    <row r="55" spans="1:156" ht="90">
      <c r="A55" s="48">
        <v>53</v>
      </c>
      <c r="B55" s="49">
        <v>202609</v>
      </c>
      <c r="C55" s="50" t="s">
        <v>2043</v>
      </c>
      <c r="D55" s="50" t="s">
        <v>251</v>
      </c>
      <c r="E55" s="51">
        <v>5960</v>
      </c>
      <c r="F55" s="461" t="s">
        <v>2018</v>
      </c>
      <c r="G55" s="462" t="s">
        <v>1713</v>
      </c>
      <c r="H55" s="191" t="s">
        <v>2019</v>
      </c>
      <c r="I55" s="199" t="s">
        <v>2020</v>
      </c>
      <c r="J55" s="55" t="s">
        <v>2044</v>
      </c>
      <c r="K55" s="55" t="s">
        <v>2045</v>
      </c>
      <c r="L55" s="55"/>
      <c r="M55" s="56" t="s">
        <v>2046</v>
      </c>
      <c r="N55" s="57" t="s">
        <v>2047</v>
      </c>
      <c r="O55" s="78" t="s">
        <v>146</v>
      </c>
      <c r="P55" s="59" t="s">
        <v>146</v>
      </c>
      <c r="Q55" s="214" t="s">
        <v>1600</v>
      </c>
      <c r="R55" s="61" t="str">
        <f>VLOOKUP(Sheet_1_Table_1_136[[#This Row],[Learning Domain]],[20]List!$A$7:$B$12,2,0)</f>
        <v>RE</v>
      </c>
      <c r="S55" s="55">
        <v>80</v>
      </c>
      <c r="T55" s="55">
        <v>0</v>
      </c>
      <c r="U55" s="55">
        <v>0</v>
      </c>
      <c r="V55" s="55">
        <v>0</v>
      </c>
      <c r="W55" s="55">
        <v>0</v>
      </c>
      <c r="X55" s="55">
        <v>0</v>
      </c>
      <c r="Y55" s="55">
        <v>0</v>
      </c>
      <c r="Z55" s="55">
        <v>0</v>
      </c>
      <c r="AA55" s="55">
        <v>20</v>
      </c>
      <c r="AB55" s="53">
        <v>100</v>
      </c>
      <c r="AC55" s="52" t="s">
        <v>199</v>
      </c>
      <c r="AD55" s="55" t="s">
        <v>190</v>
      </c>
      <c r="AE55" s="55" t="s">
        <v>146</v>
      </c>
      <c r="AF55" s="55" t="s">
        <v>146</v>
      </c>
      <c r="AG55" s="55" t="s">
        <v>142</v>
      </c>
      <c r="AH55" s="55">
        <v>2</v>
      </c>
      <c r="AI55" s="55">
        <v>20</v>
      </c>
      <c r="AJ55" s="62">
        <f>Sheet_1_Table_1_136[[#This Row],[ILP Units Per Session]]*Sheet_1_Table_1_136[[#This Row],[Quota]]</f>
        <v>40</v>
      </c>
      <c r="AK55" s="63">
        <v>46295</v>
      </c>
      <c r="AL55" s="64">
        <f>WEEKDAY(Sheet_1_Table_1_136[[#This Row],[Lesson 1 
Date 
(DD-MMM-YYYY)]])</f>
        <v>4</v>
      </c>
      <c r="AM55" s="429">
        <v>0.77083333333333337</v>
      </c>
      <c r="AN55" s="430">
        <v>0.85416666666666663</v>
      </c>
      <c r="AO55" s="431" t="s">
        <v>2048</v>
      </c>
      <c r="AP55" s="68"/>
      <c r="AQ55" s="64" t="e">
        <f>WEEKDAY([22]!Sheet_1_Table_1_13[[#This Row],[Lesson 2
Date 
(DD-MMM-YYYY)]])</f>
        <v>#REF!</v>
      </c>
      <c r="AR55" s="65"/>
      <c r="AS55" s="66"/>
      <c r="AT55" s="66"/>
      <c r="AU55" s="63"/>
      <c r="AV55" s="64" t="e">
        <f>WEEKDAY([22]!Sheet_1_Table_1_13[[#This Row],[Lesson 3
Date 
(DD-MMM-YYYY)]])</f>
        <v>#REF!</v>
      </c>
      <c r="AW55" s="65"/>
      <c r="AX55" s="66"/>
      <c r="AY55" s="67"/>
      <c r="AZ55" s="68"/>
      <c r="BA55" s="64" t="e">
        <f>WEEKDAY([22]!Sheet_1_Table_1_13[[#This Row],[Lesson 4
Date 
(DD-MMM-YYYY)]])</f>
        <v>#REF!</v>
      </c>
      <c r="BB55" s="65"/>
      <c r="BC55" s="66"/>
      <c r="BD55" s="66"/>
      <c r="BE55" s="63"/>
      <c r="BF55" s="64" t="e">
        <f>WEEKDAY([22]!Sheet_1_Table_1_13[[#This Row],[Lesson 5
Date 
(DD-MMM-YYYY)]])</f>
        <v>#REF!</v>
      </c>
      <c r="BG55" s="65"/>
      <c r="BH55" s="66"/>
      <c r="BI55" s="67"/>
      <c r="BJ55" s="68"/>
      <c r="BK55" s="64" t="e">
        <f>WEEKDAY([22]!Sheet_1_Table_1_13[[#This Row],[Lesson 6
Date 
(DD-MMM-YYYY)]])</f>
        <v>#REF!</v>
      </c>
      <c r="BL55" s="65"/>
      <c r="BM55" s="66"/>
      <c r="BN55" s="66"/>
      <c r="BO55" s="54"/>
      <c r="BP55" s="55" t="s">
        <v>2049</v>
      </c>
      <c r="BQ55" s="55"/>
      <c r="BR55" s="57"/>
      <c r="BS55" s="52"/>
      <c r="BT55" s="69"/>
      <c r="BU55" s="55"/>
      <c r="BV55" s="70"/>
      <c r="BW55" s="60"/>
      <c r="BX55" s="177">
        <v>200</v>
      </c>
      <c r="BY55" s="56" t="s">
        <v>149</v>
      </c>
      <c r="BZ55" s="56"/>
      <c r="CA55" s="210" t="s">
        <v>2034</v>
      </c>
      <c r="CB55" s="72"/>
      <c r="CC55" s="72"/>
      <c r="CD55" s="71"/>
      <c r="CE55" s="208" t="s">
        <v>2026</v>
      </c>
      <c r="CF55" s="474" t="s">
        <v>2027</v>
      </c>
      <c r="CG55" s="56"/>
      <c r="CH55" s="57"/>
      <c r="CI55" s="52" t="s">
        <v>146</v>
      </c>
      <c r="CJ55" s="52" t="s">
        <v>142</v>
      </c>
      <c r="CK55" s="52" t="s">
        <v>142</v>
      </c>
      <c r="CL55" s="52" t="s">
        <v>142</v>
      </c>
      <c r="CM55" s="52" t="s">
        <v>146</v>
      </c>
      <c r="CN55" s="52" t="s">
        <v>142</v>
      </c>
      <c r="CO55" s="52" t="s">
        <v>142</v>
      </c>
      <c r="CP55" s="52" t="s">
        <v>142</v>
      </c>
      <c r="CQ55" s="52" t="s">
        <v>142</v>
      </c>
      <c r="CR55" s="52" t="s">
        <v>142</v>
      </c>
      <c r="CS55" s="52" t="s">
        <v>142</v>
      </c>
      <c r="CT55" s="52" t="s">
        <v>142</v>
      </c>
      <c r="CU55" s="52" t="s">
        <v>142</v>
      </c>
      <c r="CV55" s="52" t="s">
        <v>142</v>
      </c>
      <c r="CW55" s="52" t="s">
        <v>142</v>
      </c>
      <c r="CX55" s="52" t="s">
        <v>142</v>
      </c>
      <c r="CY55" s="52" t="s">
        <v>142</v>
      </c>
      <c r="CZ55" s="59" t="s">
        <v>142</v>
      </c>
      <c r="DA55" s="54"/>
      <c r="DB55" s="50"/>
      <c r="DC55" s="50"/>
      <c r="DD55" s="50"/>
      <c r="DE55" s="50"/>
      <c r="DF55" s="50"/>
      <c r="DG55" s="73"/>
      <c r="DH55" s="73"/>
      <c r="DI55" s="73"/>
      <c r="DJ55" s="73"/>
      <c r="DK55" s="76" t="s">
        <v>146</v>
      </c>
      <c r="DL55" s="76" t="s">
        <v>146</v>
      </c>
      <c r="DM55" s="76" t="s">
        <v>146</v>
      </c>
      <c r="DN55" s="790"/>
    </row>
    <row r="56" spans="1:156" ht="105">
      <c r="A56" s="48">
        <v>54</v>
      </c>
      <c r="B56" s="49">
        <v>202609</v>
      </c>
      <c r="C56" s="50" t="s">
        <v>2050</v>
      </c>
      <c r="D56" s="50" t="s">
        <v>174</v>
      </c>
      <c r="E56" s="51">
        <v>5961</v>
      </c>
      <c r="F56" s="461" t="s">
        <v>2018</v>
      </c>
      <c r="G56" s="462" t="s">
        <v>1713</v>
      </c>
      <c r="H56" s="191" t="s">
        <v>2019</v>
      </c>
      <c r="I56" s="199" t="s">
        <v>2020</v>
      </c>
      <c r="J56" s="55" t="s">
        <v>2051</v>
      </c>
      <c r="K56" s="55" t="s">
        <v>2052</v>
      </c>
      <c r="L56" s="55"/>
      <c r="M56" s="56" t="s">
        <v>2053</v>
      </c>
      <c r="N56" s="57" t="s">
        <v>2054</v>
      </c>
      <c r="O56" s="78" t="s">
        <v>146</v>
      </c>
      <c r="P56" s="59" t="s">
        <v>146</v>
      </c>
      <c r="Q56" s="214" t="s">
        <v>1600</v>
      </c>
      <c r="R56" s="61" t="str">
        <f>VLOOKUP(Sheet_1_Table_1_136[[#This Row],[Learning Domain]],[20]List!$A$7:$B$12,2,0)</f>
        <v>RE</v>
      </c>
      <c r="S56" s="55">
        <v>30</v>
      </c>
      <c r="T56" s="55">
        <v>0</v>
      </c>
      <c r="U56" s="55">
        <v>0</v>
      </c>
      <c r="V56" s="55">
        <v>60</v>
      </c>
      <c r="W56" s="55">
        <v>0</v>
      </c>
      <c r="X56" s="55">
        <v>0</v>
      </c>
      <c r="Y56" s="55">
        <v>10</v>
      </c>
      <c r="Z56" s="55">
        <v>0</v>
      </c>
      <c r="AA56" s="55">
        <v>0</v>
      </c>
      <c r="AB56" s="53">
        <v>100</v>
      </c>
      <c r="AC56" s="52" t="s">
        <v>199</v>
      </c>
      <c r="AD56" s="55" t="s">
        <v>190</v>
      </c>
      <c r="AE56" s="55" t="s">
        <v>146</v>
      </c>
      <c r="AF56" s="55" t="s">
        <v>146</v>
      </c>
      <c r="AG56" s="55" t="s">
        <v>142</v>
      </c>
      <c r="AH56" s="55">
        <v>1.5</v>
      </c>
      <c r="AI56" s="55">
        <v>15</v>
      </c>
      <c r="AJ56" s="62">
        <f>Sheet_1_Table_1_136[[#This Row],[ILP Units Per Session]]*Sheet_1_Table_1_136[[#This Row],[Quota]]</f>
        <v>22.5</v>
      </c>
      <c r="AK56" s="63">
        <v>46303</v>
      </c>
      <c r="AL56" s="64">
        <f>WEEKDAY(Sheet_1_Table_1_136[[#This Row],[Lesson 1 
Date 
(DD-MMM-YYYY)]])</f>
        <v>5</v>
      </c>
      <c r="AM56" s="65">
        <v>0.77083333333333337</v>
      </c>
      <c r="AN56" s="66">
        <v>0.83333333333333337</v>
      </c>
      <c r="AO56" s="431" t="s">
        <v>2055</v>
      </c>
      <c r="AP56" s="68"/>
      <c r="AQ56" s="64" t="e">
        <f>WEEKDAY([22]!Sheet_1_Table_1_13[[#This Row],[Lesson 2
Date 
(DD-MMM-YYYY)]])</f>
        <v>#REF!</v>
      </c>
      <c r="AR56" s="65"/>
      <c r="AS56" s="66"/>
      <c r="AT56" s="66"/>
      <c r="AU56" s="63"/>
      <c r="AV56" s="64" t="e">
        <f>WEEKDAY([22]!Sheet_1_Table_1_13[[#This Row],[Lesson 3
Date 
(DD-MMM-YYYY)]])</f>
        <v>#REF!</v>
      </c>
      <c r="AW56" s="65"/>
      <c r="AX56" s="66"/>
      <c r="AY56" s="67"/>
      <c r="AZ56" s="68"/>
      <c r="BA56" s="64" t="e">
        <f>WEEKDAY([22]!Sheet_1_Table_1_13[[#This Row],[Lesson 4
Date 
(DD-MMM-YYYY)]])</f>
        <v>#REF!</v>
      </c>
      <c r="BB56" s="65"/>
      <c r="BC56" s="66"/>
      <c r="BD56" s="66"/>
      <c r="BE56" s="63"/>
      <c r="BF56" s="64" t="e">
        <f>WEEKDAY([22]!Sheet_1_Table_1_13[[#This Row],[Lesson 5
Date 
(DD-MMM-YYYY)]])</f>
        <v>#REF!</v>
      </c>
      <c r="BG56" s="65"/>
      <c r="BH56" s="66"/>
      <c r="BI56" s="67"/>
      <c r="BJ56" s="68"/>
      <c r="BK56" s="64" t="e">
        <f>WEEKDAY([22]!Sheet_1_Table_1_13[[#This Row],[Lesson 6
Date 
(DD-MMM-YYYY)]])</f>
        <v>#REF!</v>
      </c>
      <c r="BL56" s="65"/>
      <c r="BM56" s="66"/>
      <c r="BN56" s="66"/>
      <c r="BO56" s="54" t="s">
        <v>163</v>
      </c>
      <c r="BP56" s="55" t="s">
        <v>2056</v>
      </c>
      <c r="BQ56" s="55" t="s">
        <v>968</v>
      </c>
      <c r="BR56" s="53" t="s">
        <v>2057</v>
      </c>
      <c r="BS56" s="52"/>
      <c r="BT56" s="69"/>
      <c r="BU56" s="55"/>
      <c r="BV56" s="70"/>
      <c r="BW56" s="60"/>
      <c r="BX56" s="177">
        <v>100</v>
      </c>
      <c r="BY56" s="56" t="s">
        <v>149</v>
      </c>
      <c r="BZ56" s="56"/>
      <c r="CA56" s="210" t="s">
        <v>2034</v>
      </c>
      <c r="CB56" s="72"/>
      <c r="CC56" s="72"/>
      <c r="CD56" s="71"/>
      <c r="CE56" s="208" t="s">
        <v>2026</v>
      </c>
      <c r="CF56" s="474" t="s">
        <v>2027</v>
      </c>
      <c r="CG56" s="56"/>
      <c r="CH56" s="57"/>
      <c r="CI56" s="52" t="s">
        <v>146</v>
      </c>
      <c r="CJ56" s="52" t="s">
        <v>142</v>
      </c>
      <c r="CK56" s="52" t="s">
        <v>142</v>
      </c>
      <c r="CL56" s="52" t="s">
        <v>146</v>
      </c>
      <c r="CM56" s="52" t="s">
        <v>142</v>
      </c>
      <c r="CN56" s="52" t="s">
        <v>142</v>
      </c>
      <c r="CO56" s="52" t="s">
        <v>142</v>
      </c>
      <c r="CP56" s="52" t="s">
        <v>142</v>
      </c>
      <c r="CQ56" s="52" t="s">
        <v>142</v>
      </c>
      <c r="CR56" s="52" t="s">
        <v>142</v>
      </c>
      <c r="CS56" s="52" t="s">
        <v>142</v>
      </c>
      <c r="CT56" s="52" t="s">
        <v>142</v>
      </c>
      <c r="CU56" s="52" t="s">
        <v>142</v>
      </c>
      <c r="CV56" s="52" t="s">
        <v>142</v>
      </c>
      <c r="CW56" s="52" t="s">
        <v>142</v>
      </c>
      <c r="CX56" s="52" t="s">
        <v>142</v>
      </c>
      <c r="CY56" s="52" t="s">
        <v>142</v>
      </c>
      <c r="CZ56" s="59" t="s">
        <v>142</v>
      </c>
      <c r="DA56" s="54"/>
      <c r="DB56" s="50"/>
      <c r="DC56" s="50"/>
      <c r="DD56" s="50"/>
      <c r="DE56" s="50"/>
      <c r="DF56" s="50"/>
      <c r="DG56" s="73"/>
      <c r="DH56" s="73"/>
      <c r="DI56" s="73"/>
      <c r="DJ56" s="73"/>
      <c r="DK56" s="76" t="s">
        <v>146</v>
      </c>
      <c r="DL56" s="76" t="s">
        <v>146</v>
      </c>
      <c r="DM56" s="76" t="s">
        <v>146</v>
      </c>
      <c r="DN56" s="790"/>
    </row>
    <row r="57" spans="1:156" ht="120">
      <c r="A57" s="48">
        <v>55</v>
      </c>
      <c r="B57" s="49">
        <v>202609</v>
      </c>
      <c r="C57" s="50" t="s">
        <v>2058</v>
      </c>
      <c r="D57" s="170" t="s">
        <v>2059</v>
      </c>
      <c r="E57" s="51">
        <v>5962</v>
      </c>
      <c r="F57" s="461" t="s">
        <v>2018</v>
      </c>
      <c r="G57" s="462" t="s">
        <v>1713</v>
      </c>
      <c r="H57" s="191" t="s">
        <v>2019</v>
      </c>
      <c r="I57" s="199" t="s">
        <v>2020</v>
      </c>
      <c r="J57" s="55" t="s">
        <v>2060</v>
      </c>
      <c r="K57" s="55" t="s">
        <v>2061</v>
      </c>
      <c r="L57" s="55"/>
      <c r="M57" s="56" t="s">
        <v>2062</v>
      </c>
      <c r="N57" s="57" t="s">
        <v>2063</v>
      </c>
      <c r="O57" s="78" t="s">
        <v>146</v>
      </c>
      <c r="P57" s="59" t="s">
        <v>146</v>
      </c>
      <c r="Q57" s="214" t="s">
        <v>1600</v>
      </c>
      <c r="R57" s="61" t="str">
        <f>VLOOKUP(Sheet_1_Table_1_136[[#This Row],[Learning Domain]],[20]List!$A$7:$B$12,2,0)</f>
        <v>RE</v>
      </c>
      <c r="S57" s="55">
        <v>0</v>
      </c>
      <c r="T57" s="55">
        <v>0</v>
      </c>
      <c r="U57" s="55">
        <v>0</v>
      </c>
      <c r="V57" s="55">
        <v>30</v>
      </c>
      <c r="W57" s="55">
        <v>0</v>
      </c>
      <c r="X57" s="55">
        <v>70</v>
      </c>
      <c r="Y57" s="55">
        <v>0</v>
      </c>
      <c r="Z57" s="55">
        <v>0</v>
      </c>
      <c r="AA57" s="55">
        <v>0</v>
      </c>
      <c r="AB57" s="53">
        <v>100</v>
      </c>
      <c r="AC57" s="52" t="s">
        <v>245</v>
      </c>
      <c r="AD57" s="55" t="s">
        <v>190</v>
      </c>
      <c r="AE57" s="55" t="s">
        <v>142</v>
      </c>
      <c r="AF57" s="55" t="s">
        <v>146</v>
      </c>
      <c r="AG57" s="55" t="s">
        <v>142</v>
      </c>
      <c r="AH57" s="55">
        <v>1</v>
      </c>
      <c r="AI57" s="55">
        <v>20</v>
      </c>
      <c r="AJ57" s="62">
        <f>Sheet_1_Table_1_136[[#This Row],[ILP Units Per Session]]*Sheet_1_Table_1_136[[#This Row],[Quota]]</f>
        <v>20</v>
      </c>
      <c r="AK57" s="545">
        <v>46361</v>
      </c>
      <c r="AL57" s="64">
        <f>WEEKDAY(Sheet_1_Table_1_136[[#This Row],[Lesson 1 
Date 
(DD-MMM-YYYY)]])</f>
        <v>7</v>
      </c>
      <c r="AM57" s="546">
        <v>0.41666666666666669</v>
      </c>
      <c r="AN57" s="547">
        <v>0.5</v>
      </c>
      <c r="AO57" s="166" t="s">
        <v>2064</v>
      </c>
      <c r="AP57" s="68"/>
      <c r="AQ57" s="64" t="e">
        <f>WEEKDAY([22]!Sheet_1_Table_1_13[[#This Row],[Lesson 2
Date 
(DD-MMM-YYYY)]])</f>
        <v>#REF!</v>
      </c>
      <c r="AR57" s="65"/>
      <c r="AS57" s="66"/>
      <c r="AT57" s="66"/>
      <c r="AU57" s="63"/>
      <c r="AV57" s="165" t="e">
        <f>WEEKDAY([22]!Sheet_1_Table_1_13[[#This Row],[Lesson 3
Date 
(DD-MMM-YYYY)]])</f>
        <v>#REF!</v>
      </c>
      <c r="AW57" s="65"/>
      <c r="AX57" s="66"/>
      <c r="AY57" s="67"/>
      <c r="AZ57" s="68"/>
      <c r="BA57" s="64" t="e">
        <f>WEEKDAY([22]!Sheet_1_Table_1_13[[#This Row],[Lesson 4
Date 
(DD-MMM-YYYY)]])</f>
        <v>#REF!</v>
      </c>
      <c r="BB57" s="65"/>
      <c r="BC57" s="66"/>
      <c r="BD57" s="66"/>
      <c r="BE57" s="63"/>
      <c r="BF57" s="165" t="e">
        <f>WEEKDAY([22]!Sheet_1_Table_1_13[[#This Row],[Lesson 5
Date 
(DD-MMM-YYYY)]])</f>
        <v>#REF!</v>
      </c>
      <c r="BG57" s="65"/>
      <c r="BH57" s="66"/>
      <c r="BI57" s="67"/>
      <c r="BJ57" s="68"/>
      <c r="BK57" s="165" t="e">
        <f>WEEKDAY([22]!Sheet_1_Table_1_13[[#This Row],[Lesson 6
Date 
(DD-MMM-YYYY)]])</f>
        <v>#REF!</v>
      </c>
      <c r="BL57" s="65"/>
      <c r="BM57" s="66"/>
      <c r="BN57" s="66"/>
      <c r="BO57" s="54" t="s">
        <v>289</v>
      </c>
      <c r="BP57" s="55" t="s">
        <v>2065</v>
      </c>
      <c r="BQ57" s="55" t="s">
        <v>985</v>
      </c>
      <c r="BR57" s="53" t="s">
        <v>2066</v>
      </c>
      <c r="BS57" s="52"/>
      <c r="BT57" s="56"/>
      <c r="BU57" s="56"/>
      <c r="BV57" s="70"/>
      <c r="BW57" s="60"/>
      <c r="BX57" s="71"/>
      <c r="BY57" s="548">
        <v>0.41666666666666669</v>
      </c>
      <c r="BZ57" s="83" t="s">
        <v>2067</v>
      </c>
      <c r="CA57" s="434" t="s">
        <v>2068</v>
      </c>
      <c r="CB57" s="72"/>
      <c r="CC57" s="72"/>
      <c r="CD57" s="71"/>
      <c r="CE57" s="54" t="s">
        <v>2069</v>
      </c>
      <c r="CF57" s="470" t="s">
        <v>2070</v>
      </c>
      <c r="CG57" s="56"/>
      <c r="CH57" s="57"/>
      <c r="CI57" s="52" t="s">
        <v>146</v>
      </c>
      <c r="CJ57" s="52" t="s">
        <v>142</v>
      </c>
      <c r="CK57" s="52" t="s">
        <v>142</v>
      </c>
      <c r="CL57" s="52" t="s">
        <v>142</v>
      </c>
      <c r="CM57" s="52" t="s">
        <v>142</v>
      </c>
      <c r="CN57" s="52" t="s">
        <v>142</v>
      </c>
      <c r="CO57" s="52" t="s">
        <v>142</v>
      </c>
      <c r="CP57" s="52" t="s">
        <v>142</v>
      </c>
      <c r="CQ57" s="52" t="s">
        <v>142</v>
      </c>
      <c r="CR57" s="52" t="s">
        <v>142</v>
      </c>
      <c r="CS57" s="52" t="s">
        <v>142</v>
      </c>
      <c r="CT57" s="52" t="s">
        <v>146</v>
      </c>
      <c r="CU57" s="52" t="s">
        <v>142</v>
      </c>
      <c r="CV57" s="52" t="s">
        <v>142</v>
      </c>
      <c r="CW57" s="52" t="s">
        <v>142</v>
      </c>
      <c r="CX57" s="52" t="s">
        <v>142</v>
      </c>
      <c r="CY57" s="52" t="s">
        <v>142</v>
      </c>
      <c r="CZ57" s="59" t="s">
        <v>142</v>
      </c>
      <c r="DA57" s="54"/>
      <c r="DB57" s="50"/>
      <c r="DC57" s="50"/>
      <c r="DD57" s="50"/>
      <c r="DE57" s="50"/>
      <c r="DF57" s="50"/>
      <c r="DG57" s="73"/>
      <c r="DH57" s="73"/>
      <c r="DI57" s="73"/>
      <c r="DJ57" s="73"/>
      <c r="DK57" s="76" t="s">
        <v>146</v>
      </c>
      <c r="DL57" s="76" t="s">
        <v>146</v>
      </c>
      <c r="DM57" s="76" t="s">
        <v>146</v>
      </c>
      <c r="DN57" s="790"/>
    </row>
    <row r="58" spans="1:156" ht="120">
      <c r="A58" s="48">
        <v>56</v>
      </c>
      <c r="B58" s="49">
        <v>202609</v>
      </c>
      <c r="C58" s="50" t="s">
        <v>2071</v>
      </c>
      <c r="D58" s="549" t="s">
        <v>174</v>
      </c>
      <c r="E58" s="51">
        <v>5964</v>
      </c>
      <c r="F58" s="550" t="s">
        <v>2072</v>
      </c>
      <c r="G58" s="462" t="s">
        <v>2073</v>
      </c>
      <c r="H58" s="191" t="s">
        <v>2074</v>
      </c>
      <c r="I58" s="199" t="s">
        <v>2075</v>
      </c>
      <c r="J58" s="60" t="s">
        <v>2076</v>
      </c>
      <c r="K58" s="56" t="s">
        <v>2077</v>
      </c>
      <c r="L58" s="55"/>
      <c r="M58" s="56" t="s">
        <v>2078</v>
      </c>
      <c r="N58" s="57" t="s">
        <v>2079</v>
      </c>
      <c r="O58" s="78" t="s">
        <v>146</v>
      </c>
      <c r="P58" s="59" t="s">
        <v>146</v>
      </c>
      <c r="Q58" s="214" t="s">
        <v>1600</v>
      </c>
      <c r="R58" s="61" t="str">
        <f>VLOOKUP(Sheet_1_Table_1_136[[#This Row],[Learning Domain]],[20]List!$A$7:$B$12,2,0)</f>
        <v>RE</v>
      </c>
      <c r="S58" s="55">
        <v>0</v>
      </c>
      <c r="T58" s="55">
        <v>0</v>
      </c>
      <c r="U58" s="55">
        <v>0</v>
      </c>
      <c r="V58" s="55">
        <v>100</v>
      </c>
      <c r="W58" s="55">
        <v>0</v>
      </c>
      <c r="X58" s="55">
        <v>0</v>
      </c>
      <c r="Y58" s="55">
        <v>0</v>
      </c>
      <c r="Z58" s="55">
        <v>0</v>
      </c>
      <c r="AA58" s="55">
        <v>0</v>
      </c>
      <c r="AB58" s="53">
        <v>100</v>
      </c>
      <c r="AC58" s="52" t="s">
        <v>199</v>
      </c>
      <c r="AD58" s="55" t="s">
        <v>145</v>
      </c>
      <c r="AE58" s="55" t="s">
        <v>142</v>
      </c>
      <c r="AF58" s="55" t="s">
        <v>146</v>
      </c>
      <c r="AG58" s="55" t="s">
        <v>142</v>
      </c>
      <c r="AH58" s="55">
        <v>2</v>
      </c>
      <c r="AI58" s="55">
        <v>15</v>
      </c>
      <c r="AJ58" s="62">
        <f>Sheet_1_Table_1_136[[#This Row],[ILP Units Per Session]]*Sheet_1_Table_1_136[[#This Row],[Quota]]</f>
        <v>30</v>
      </c>
      <c r="AK58" s="551">
        <v>46307</v>
      </c>
      <c r="AL58" s="64">
        <f>WEEKDAY(Sheet_1_Table_1_136[[#This Row],[Lesson 1 
Date 
(DD-MMM-YYYY)]])</f>
        <v>2</v>
      </c>
      <c r="AM58" s="552">
        <v>0.8125</v>
      </c>
      <c r="AN58" s="553">
        <v>0.89583333333333337</v>
      </c>
      <c r="AO58" s="554" t="s">
        <v>210</v>
      </c>
      <c r="AP58" s="555"/>
      <c r="AQ58" s="64">
        <f>WEEKDAY(Sheet_1_Table_1_136[[#This Row],[Lesson 2
Date 
(DD-MMM-YYYY)]])</f>
        <v>7</v>
      </c>
      <c r="AR58" s="65"/>
      <c r="AS58" s="66"/>
      <c r="AT58" s="126"/>
      <c r="AU58" s="63"/>
      <c r="AV58" s="64">
        <f>WEEKDAY(Sheet_1_Table_1_136[[#This Row],[Lesson 3
Date 
(DD-MMM-YYYY)]])</f>
        <v>7</v>
      </c>
      <c r="AW58" s="65"/>
      <c r="AX58" s="66"/>
      <c r="AY58" s="126"/>
      <c r="AZ58" s="98"/>
      <c r="BA58" s="64">
        <f>WEEKDAY(Sheet_1_Table_1_136[[#This Row],[Lesson 4
Date 
(DD-MMM-YYYY)]])</f>
        <v>7</v>
      </c>
      <c r="BB58" s="65"/>
      <c r="BC58" s="66"/>
      <c r="BD58" s="126"/>
      <c r="BE58" s="63"/>
      <c r="BF58" s="64">
        <f>WEEKDAY(Sheet_1_Table_1_136[[#This Row],[Lesson 5
Date 
(DD-MMM-YYYY)]])</f>
        <v>7</v>
      </c>
      <c r="BG58" s="65"/>
      <c r="BH58" s="66"/>
      <c r="BI58" s="126"/>
      <c r="BJ58" s="98"/>
      <c r="BK58" s="64">
        <f>WEEKDAY(Sheet_1_Table_1_136[[#This Row],[Lesson 6
Date 
(DD-MMM-YYYY)]])</f>
        <v>7</v>
      </c>
      <c r="BL58" s="65"/>
      <c r="BM58" s="66"/>
      <c r="BN58" s="99"/>
      <c r="BO58" s="55" t="s">
        <v>163</v>
      </c>
      <c r="BP58" s="55" t="s">
        <v>2080</v>
      </c>
      <c r="BQ58" s="55" t="s">
        <v>422</v>
      </c>
      <c r="BR58" s="56" t="s">
        <v>2081</v>
      </c>
      <c r="BS58" s="55"/>
      <c r="BT58" s="56"/>
      <c r="BU58" s="56"/>
      <c r="BV58" s="57"/>
      <c r="BW58" s="60"/>
      <c r="BX58" s="556">
        <v>100</v>
      </c>
      <c r="BY58" s="56"/>
      <c r="BZ58" s="56"/>
      <c r="CA58" s="210" t="s">
        <v>2034</v>
      </c>
      <c r="CB58" s="72"/>
      <c r="CC58" s="72"/>
      <c r="CD58" s="72"/>
      <c r="CE58" s="208" t="s">
        <v>2082</v>
      </c>
      <c r="CF58" s="474" t="s">
        <v>2083</v>
      </c>
      <c r="CG58" s="56"/>
      <c r="CH58" s="57"/>
      <c r="CI58" s="52" t="s">
        <v>146</v>
      </c>
      <c r="CJ58" s="52" t="s">
        <v>142</v>
      </c>
      <c r="CK58" s="52" t="s">
        <v>142</v>
      </c>
      <c r="CL58" s="52" t="s">
        <v>146</v>
      </c>
      <c r="CM58" s="52" t="s">
        <v>146</v>
      </c>
      <c r="CN58" s="52" t="s">
        <v>142</v>
      </c>
      <c r="CO58" s="52" t="s">
        <v>142</v>
      </c>
      <c r="CP58" s="52" t="s">
        <v>142</v>
      </c>
      <c r="CQ58" s="52" t="s">
        <v>142</v>
      </c>
      <c r="CR58" s="52" t="s">
        <v>142</v>
      </c>
      <c r="CS58" s="52" t="s">
        <v>142</v>
      </c>
      <c r="CT58" s="52" t="s">
        <v>142</v>
      </c>
      <c r="CU58" s="52" t="s">
        <v>142</v>
      </c>
      <c r="CV58" s="52" t="s">
        <v>142</v>
      </c>
      <c r="CW58" s="52" t="s">
        <v>142</v>
      </c>
      <c r="CX58" s="52" t="s">
        <v>142</v>
      </c>
      <c r="CY58" s="52" t="s">
        <v>142</v>
      </c>
      <c r="CZ58" s="59" t="s">
        <v>142</v>
      </c>
      <c r="DA58" s="54"/>
      <c r="DB58" s="50"/>
      <c r="DC58" s="50"/>
      <c r="DD58" s="50"/>
      <c r="DE58" s="50"/>
      <c r="DF58" s="50"/>
      <c r="DG58" s="73"/>
      <c r="DH58" s="73"/>
      <c r="DI58" s="73"/>
      <c r="DJ58" s="73"/>
      <c r="DK58" s="76" t="s">
        <v>146</v>
      </c>
      <c r="DL58" s="76" t="s">
        <v>146</v>
      </c>
      <c r="DM58" s="76" t="s">
        <v>146</v>
      </c>
      <c r="DN58" s="790" t="s">
        <v>2234</v>
      </c>
    </row>
    <row r="59" spans="1:156" ht="409.5">
      <c r="A59" s="48">
        <v>57</v>
      </c>
      <c r="B59" s="49">
        <v>202609</v>
      </c>
      <c r="C59" s="549" t="s">
        <v>2084</v>
      </c>
      <c r="D59" s="549" t="s">
        <v>174</v>
      </c>
      <c r="E59" s="557">
        <v>5967</v>
      </c>
      <c r="F59" s="550" t="s">
        <v>2072</v>
      </c>
      <c r="G59" s="462" t="s">
        <v>2073</v>
      </c>
      <c r="H59" s="191" t="s">
        <v>2074</v>
      </c>
      <c r="I59" s="199" t="s">
        <v>2075</v>
      </c>
      <c r="J59" s="558"/>
      <c r="K59" s="559" t="s">
        <v>2085</v>
      </c>
      <c r="L59" s="55"/>
      <c r="M59" s="560" t="s">
        <v>2086</v>
      </c>
      <c r="N59" s="298" t="s">
        <v>2087</v>
      </c>
      <c r="O59" s="561" t="s">
        <v>146</v>
      </c>
      <c r="P59" s="59" t="s">
        <v>146</v>
      </c>
      <c r="Q59" s="214" t="s">
        <v>1600</v>
      </c>
      <c r="R59" s="61" t="str">
        <f>VLOOKUP(Sheet_1_Table_1_136[[#This Row],[Learning Domain]],[20]List!$A$7:$B$12,2,0)</f>
        <v>RE</v>
      </c>
      <c r="S59" s="562">
        <v>0</v>
      </c>
      <c r="T59" s="562">
        <v>0</v>
      </c>
      <c r="U59" s="562">
        <v>20</v>
      </c>
      <c r="V59" s="562">
        <v>20</v>
      </c>
      <c r="W59" s="55">
        <v>0</v>
      </c>
      <c r="X59" s="55">
        <v>40</v>
      </c>
      <c r="Y59" s="562">
        <v>20</v>
      </c>
      <c r="Z59" s="562">
        <v>0</v>
      </c>
      <c r="AA59" s="562">
        <v>0</v>
      </c>
      <c r="AB59" s="53">
        <v>100</v>
      </c>
      <c r="AC59" s="295" t="s">
        <v>245</v>
      </c>
      <c r="AD59" s="562" t="s">
        <v>190</v>
      </c>
      <c r="AE59" s="55" t="s">
        <v>146</v>
      </c>
      <c r="AF59" s="562" t="s">
        <v>142</v>
      </c>
      <c r="AG59" s="562" t="s">
        <v>142</v>
      </c>
      <c r="AH59" s="563">
        <v>2</v>
      </c>
      <c r="AI59" s="562">
        <v>20</v>
      </c>
      <c r="AJ59" s="62">
        <f>Sheet_1_Table_1_136[[#This Row],[ILP Units Per Session]]*Sheet_1_Table_1_136[[#This Row],[Quota]]</f>
        <v>40</v>
      </c>
      <c r="AK59" s="179">
        <v>46311</v>
      </c>
      <c r="AL59" s="64">
        <f>WEEKDAY(Sheet_1_Table_1_136[[#This Row],[Lesson 1 
Date 
(DD-MMM-YYYY)]])</f>
        <v>6</v>
      </c>
      <c r="AM59" s="65">
        <v>0.41666666666666669</v>
      </c>
      <c r="AN59" s="66">
        <v>0.58333333333333337</v>
      </c>
      <c r="AO59" s="67" t="s">
        <v>2088</v>
      </c>
      <c r="AP59" s="555"/>
      <c r="AQ59" s="64">
        <f>WEEKDAY(Sheet_1_Table_1_136[[#This Row],[Lesson 2
Date 
(DD-MMM-YYYY)]])</f>
        <v>7</v>
      </c>
      <c r="AR59" s="65"/>
      <c r="AS59" s="66"/>
      <c r="AT59" s="126"/>
      <c r="AU59" s="63"/>
      <c r="AV59" s="64">
        <f>WEEKDAY(Sheet_1_Table_1_136[[#This Row],[Lesson 3
Date 
(DD-MMM-YYYY)]])</f>
        <v>7</v>
      </c>
      <c r="AW59" s="65"/>
      <c r="AX59" s="66"/>
      <c r="AY59" s="126"/>
      <c r="AZ59" s="98"/>
      <c r="BA59" s="64">
        <f>WEEKDAY(Sheet_1_Table_1_136[[#This Row],[Lesson 4
Date 
(DD-MMM-YYYY)]])</f>
        <v>7</v>
      </c>
      <c r="BB59" s="65"/>
      <c r="BC59" s="66"/>
      <c r="BD59" s="126"/>
      <c r="BE59" s="63"/>
      <c r="BF59" s="64">
        <f>WEEKDAY(Sheet_1_Table_1_136[[#This Row],[Lesson 5
Date 
(DD-MMM-YYYY)]])</f>
        <v>7</v>
      </c>
      <c r="BG59" s="65"/>
      <c r="BH59" s="66"/>
      <c r="BI59" s="126"/>
      <c r="BJ59" s="98"/>
      <c r="BK59" s="64">
        <f>WEEKDAY(Sheet_1_Table_1_136[[#This Row],[Lesson 6
Date 
(DD-MMM-YYYY)]])</f>
        <v>7</v>
      </c>
      <c r="BL59" s="65"/>
      <c r="BM59" s="66"/>
      <c r="BN59" s="99"/>
      <c r="BO59" s="564" t="s">
        <v>289</v>
      </c>
      <c r="BP59" s="559" t="s">
        <v>2089</v>
      </c>
      <c r="BQ59" s="559" t="s">
        <v>2090</v>
      </c>
      <c r="BR59" s="69" t="s">
        <v>2091</v>
      </c>
      <c r="BS59" s="564"/>
      <c r="BT59" s="565"/>
      <c r="BU59" s="565"/>
      <c r="BV59" s="566"/>
      <c r="BW59" s="567"/>
      <c r="BX59" s="568">
        <v>100</v>
      </c>
      <c r="BY59" s="569">
        <v>0.375</v>
      </c>
      <c r="BZ59" s="560" t="s">
        <v>2092</v>
      </c>
      <c r="CA59" s="560" t="s">
        <v>2093</v>
      </c>
      <c r="CB59" s="570"/>
      <c r="CC59" s="570"/>
      <c r="CD59" s="571"/>
      <c r="CE59" s="560" t="s">
        <v>2094</v>
      </c>
      <c r="CF59" s="572" t="s">
        <v>2095</v>
      </c>
      <c r="CG59" s="573"/>
      <c r="CH59" s="574"/>
      <c r="CI59" s="562" t="s">
        <v>146</v>
      </c>
      <c r="CJ59" s="562" t="s">
        <v>142</v>
      </c>
      <c r="CK59" s="562" t="s">
        <v>142</v>
      </c>
      <c r="CL59" s="562" t="s">
        <v>146</v>
      </c>
      <c r="CM59" s="52" t="s">
        <v>146</v>
      </c>
      <c r="CN59" s="562" t="s">
        <v>142</v>
      </c>
      <c r="CO59" s="562" t="s">
        <v>142</v>
      </c>
      <c r="CP59" s="562" t="s">
        <v>142</v>
      </c>
      <c r="CQ59" s="562" t="s">
        <v>142</v>
      </c>
      <c r="CR59" s="562" t="s">
        <v>142</v>
      </c>
      <c r="CS59" s="562" t="s">
        <v>142</v>
      </c>
      <c r="CT59" s="562" t="s">
        <v>142</v>
      </c>
      <c r="CU59" s="562" t="s">
        <v>146</v>
      </c>
      <c r="CV59" s="562" t="s">
        <v>146</v>
      </c>
      <c r="CW59" s="562" t="s">
        <v>142</v>
      </c>
      <c r="CX59" s="562" t="s">
        <v>142</v>
      </c>
      <c r="CY59" s="562" t="s">
        <v>142</v>
      </c>
      <c r="CZ59" s="575" t="s">
        <v>142</v>
      </c>
      <c r="DA59" s="576"/>
      <c r="DB59" s="577"/>
      <c r="DC59" s="577"/>
      <c r="DD59" s="577"/>
      <c r="DE59" s="577"/>
      <c r="DF59" s="577"/>
      <c r="DG59" s="578"/>
      <c r="DH59" s="578"/>
      <c r="DI59" s="578"/>
      <c r="DJ59" s="578"/>
      <c r="DK59" s="76" t="s">
        <v>146</v>
      </c>
      <c r="DL59" s="76" t="s">
        <v>146</v>
      </c>
      <c r="DM59" s="76" t="s">
        <v>146</v>
      </c>
      <c r="DN59" s="790"/>
    </row>
    <row r="60" spans="1:156" ht="195">
      <c r="A60" s="48">
        <v>58</v>
      </c>
      <c r="B60" s="579">
        <v>202609</v>
      </c>
      <c r="C60" s="577" t="s">
        <v>2096</v>
      </c>
      <c r="D60" s="580" t="s">
        <v>174</v>
      </c>
      <c r="E60" s="581">
        <v>5971</v>
      </c>
      <c r="F60" s="550" t="s">
        <v>2072</v>
      </c>
      <c r="G60" s="462" t="s">
        <v>2073</v>
      </c>
      <c r="H60" s="191" t="s">
        <v>2074</v>
      </c>
      <c r="I60" s="199" t="s">
        <v>2075</v>
      </c>
      <c r="J60" s="558"/>
      <c r="K60" s="560" t="s">
        <v>2097</v>
      </c>
      <c r="L60" s="562"/>
      <c r="M60" s="69" t="s">
        <v>2098</v>
      </c>
      <c r="N60" s="56" t="s">
        <v>2099</v>
      </c>
      <c r="O60" s="561" t="s">
        <v>146</v>
      </c>
      <c r="P60" s="59" t="s">
        <v>146</v>
      </c>
      <c r="Q60" s="214" t="s">
        <v>1600</v>
      </c>
      <c r="R60" s="61" t="str">
        <f>VLOOKUP(Sheet_1_Table_1_136[[#This Row],[Learning Domain]],[20]List!$A$7:$B$12,2,0)</f>
        <v>RE</v>
      </c>
      <c r="S60" s="562">
        <v>0</v>
      </c>
      <c r="T60" s="562">
        <v>0</v>
      </c>
      <c r="U60" s="562">
        <v>0</v>
      </c>
      <c r="V60" s="55">
        <v>0</v>
      </c>
      <c r="W60" s="562">
        <v>10</v>
      </c>
      <c r="X60" s="562">
        <v>90</v>
      </c>
      <c r="Y60" s="562">
        <v>0</v>
      </c>
      <c r="Z60" s="562">
        <v>0</v>
      </c>
      <c r="AA60" s="562">
        <v>0</v>
      </c>
      <c r="AB60" s="53">
        <v>100</v>
      </c>
      <c r="AC60" s="295" t="s">
        <v>245</v>
      </c>
      <c r="AD60" s="562" t="s">
        <v>145</v>
      </c>
      <c r="AE60" s="562" t="s">
        <v>146</v>
      </c>
      <c r="AF60" s="55" t="s">
        <v>142</v>
      </c>
      <c r="AG60" s="562" t="s">
        <v>142</v>
      </c>
      <c r="AH60" s="562">
        <v>1.5</v>
      </c>
      <c r="AI60" s="562">
        <v>25</v>
      </c>
      <c r="AJ60" s="62">
        <f>Sheet_1_Table_1_136[[#This Row],[ILP Units Per Session]]*Sheet_1_Table_1_136[[#This Row],[Quota]]</f>
        <v>37.5</v>
      </c>
      <c r="AK60" s="582">
        <v>46325</v>
      </c>
      <c r="AL60" s="64">
        <f>WEEKDAY(Sheet_1_Table_1_136[[#This Row],[Lesson 1 
Date 
(DD-MMM-YYYY)]])</f>
        <v>6</v>
      </c>
      <c r="AM60" s="565">
        <v>0.79166666666666663</v>
      </c>
      <c r="AN60" s="583">
        <v>0.85416666666666663</v>
      </c>
      <c r="AO60" s="584" t="s">
        <v>871</v>
      </c>
      <c r="AP60" s="585"/>
      <c r="AQ60" s="586">
        <f>WEEKDAY(Sheet_1_Table_1_136[[#This Row],[Lesson 2
Date 
(DD-MMM-YYYY)]])</f>
        <v>7</v>
      </c>
      <c r="AR60" s="565"/>
      <c r="AS60" s="583"/>
      <c r="AT60" s="584"/>
      <c r="AU60" s="582"/>
      <c r="AV60" s="586">
        <f>WEEKDAY(Sheet_1_Table_1_136[[#This Row],[Lesson 3
Date 
(DD-MMM-YYYY)]])</f>
        <v>7</v>
      </c>
      <c r="AW60" s="565"/>
      <c r="AX60" s="583"/>
      <c r="AY60" s="584"/>
      <c r="AZ60" s="587"/>
      <c r="BA60" s="586">
        <f>WEEKDAY(Sheet_1_Table_1_136[[#This Row],[Lesson 4
Date 
(DD-MMM-YYYY)]])</f>
        <v>7</v>
      </c>
      <c r="BB60" s="565"/>
      <c r="BC60" s="583"/>
      <c r="BD60" s="584"/>
      <c r="BE60" s="582"/>
      <c r="BF60" s="586">
        <f>WEEKDAY(Sheet_1_Table_1_136[[#This Row],[Lesson 5
Date 
(DD-MMM-YYYY)]])</f>
        <v>7</v>
      </c>
      <c r="BG60" s="565"/>
      <c r="BH60" s="583"/>
      <c r="BI60" s="584"/>
      <c r="BJ60" s="587"/>
      <c r="BK60" s="586">
        <f>WEEKDAY(Sheet_1_Table_1_136[[#This Row],[Lesson 6
Date 
(DD-MMM-YYYY)]])</f>
        <v>7</v>
      </c>
      <c r="BL60" s="565"/>
      <c r="BM60" s="583"/>
      <c r="BN60" s="588"/>
      <c r="BO60" s="55" t="s">
        <v>293</v>
      </c>
      <c r="BP60" s="69" t="s">
        <v>2100</v>
      </c>
      <c r="BQ60" s="55" t="s">
        <v>2101</v>
      </c>
      <c r="BR60" s="589" t="s">
        <v>2102</v>
      </c>
      <c r="BS60" s="576"/>
      <c r="BT60" s="560"/>
      <c r="BU60" s="560"/>
      <c r="BV60" s="298"/>
      <c r="BW60" s="558"/>
      <c r="BX60" s="568">
        <v>100</v>
      </c>
      <c r="BY60" s="560"/>
      <c r="BZ60" s="560"/>
      <c r="CA60" s="560" t="s">
        <v>1811</v>
      </c>
      <c r="CB60" s="590"/>
      <c r="CC60" s="590"/>
      <c r="CD60" s="591"/>
      <c r="CE60" s="55" t="s">
        <v>2103</v>
      </c>
      <c r="CF60" s="592" t="s">
        <v>2104</v>
      </c>
      <c r="CG60" s="56"/>
      <c r="CH60" s="298"/>
      <c r="CI60" s="52"/>
      <c r="CJ60" s="52"/>
      <c r="CK60" s="52"/>
      <c r="CL60" s="52"/>
      <c r="CM60" s="52" t="s">
        <v>146</v>
      </c>
      <c r="CN60" s="52"/>
      <c r="CO60" s="52"/>
      <c r="CP60" s="52"/>
      <c r="CQ60" s="52"/>
      <c r="CR60" s="52"/>
      <c r="CS60" s="52"/>
      <c r="CT60" s="52"/>
      <c r="CU60" s="52"/>
      <c r="CV60" s="52"/>
      <c r="CW60" s="52"/>
      <c r="CX60" s="52"/>
      <c r="CY60" s="52"/>
      <c r="CZ60" s="52"/>
      <c r="DA60" s="576"/>
      <c r="DB60" s="577"/>
      <c r="DC60" s="577"/>
      <c r="DD60" s="577"/>
      <c r="DE60" s="577"/>
      <c r="DF60" s="577"/>
      <c r="DG60" s="578"/>
      <c r="DH60" s="578"/>
      <c r="DI60" s="578"/>
      <c r="DJ60" s="578"/>
      <c r="DK60" s="76" t="s">
        <v>146</v>
      </c>
      <c r="DL60" s="76" t="s">
        <v>146</v>
      </c>
      <c r="DM60" s="76" t="s">
        <v>146</v>
      </c>
      <c r="DN60" s="790"/>
    </row>
    <row r="61" spans="1:156" ht="120">
      <c r="A61" s="48">
        <v>59</v>
      </c>
      <c r="B61" s="49">
        <v>202609</v>
      </c>
      <c r="C61" s="50" t="s">
        <v>2105</v>
      </c>
      <c r="D61" s="50" t="s">
        <v>133</v>
      </c>
      <c r="E61" s="51">
        <v>5972</v>
      </c>
      <c r="F61" s="54" t="s">
        <v>2106</v>
      </c>
      <c r="G61" s="53" t="s">
        <v>1713</v>
      </c>
      <c r="H61" s="95" t="s">
        <v>2107</v>
      </c>
      <c r="I61" s="84" t="s">
        <v>2108</v>
      </c>
      <c r="J61" s="60" t="s">
        <v>1959</v>
      </c>
      <c r="K61" s="55" t="s">
        <v>1877</v>
      </c>
      <c r="L61" s="55" t="s">
        <v>2109</v>
      </c>
      <c r="M61" s="56" t="s">
        <v>2110</v>
      </c>
      <c r="N61" s="57" t="s">
        <v>2111</v>
      </c>
      <c r="O61" s="162" t="s">
        <v>142</v>
      </c>
      <c r="P61" s="162" t="s">
        <v>142</v>
      </c>
      <c r="Q61" s="214" t="s">
        <v>1600</v>
      </c>
      <c r="R61" s="61" t="str">
        <f>VLOOKUP(Sheet_1_Table_1_136[[#This Row],[Learning Domain]],[20]List!$A$7:$B$12,2,0)</f>
        <v>RE</v>
      </c>
      <c r="S61" s="55">
        <v>0</v>
      </c>
      <c r="T61" s="55">
        <v>0</v>
      </c>
      <c r="U61" s="55">
        <v>0</v>
      </c>
      <c r="V61" s="55">
        <v>0</v>
      </c>
      <c r="W61" s="55">
        <v>0</v>
      </c>
      <c r="X61" s="55">
        <v>80</v>
      </c>
      <c r="Y61" s="55">
        <v>20</v>
      </c>
      <c r="Z61" s="55">
        <v>0</v>
      </c>
      <c r="AA61" s="55">
        <v>0</v>
      </c>
      <c r="AB61" s="53">
        <v>100</v>
      </c>
      <c r="AC61" s="52" t="s">
        <v>144</v>
      </c>
      <c r="AD61" s="55" t="s">
        <v>190</v>
      </c>
      <c r="AE61" s="55" t="s">
        <v>142</v>
      </c>
      <c r="AF61" s="55" t="s">
        <v>146</v>
      </c>
      <c r="AG61" s="55" t="s">
        <v>142</v>
      </c>
      <c r="AH61" s="55">
        <v>1</v>
      </c>
      <c r="AI61" s="55">
        <v>40</v>
      </c>
      <c r="AJ61" s="62">
        <f>Sheet_1_Table_1_136[[#This Row],[ILP Units Per Session]]*Sheet_1_Table_1_136[[#This Row],[Quota]]</f>
        <v>40</v>
      </c>
      <c r="AK61" s="63">
        <v>46258</v>
      </c>
      <c r="AL61" s="64">
        <f>WEEKDAY(Sheet_1_Table_1_136[[#This Row],[Lesson 1 
Date 
(DD-MMM-YYYY)]])</f>
        <v>2</v>
      </c>
      <c r="AM61" s="65">
        <v>0.83333333333333337</v>
      </c>
      <c r="AN61" s="66">
        <v>0.89583333333333337</v>
      </c>
      <c r="AO61" s="67" t="s">
        <v>2112</v>
      </c>
      <c r="AP61" s="555"/>
      <c r="AQ61" s="64">
        <f>WEEKDAY(Sheet_1_Table_1_136[[#This Row],[Lesson 2
Date 
(DD-MMM-YYYY)]])</f>
        <v>7</v>
      </c>
      <c r="AR61" s="65"/>
      <c r="AS61" s="66"/>
      <c r="AT61" s="126"/>
      <c r="AU61" s="63"/>
      <c r="AV61" s="64">
        <f>WEEKDAY(Sheet_1_Table_1_136[[#This Row],[Lesson 3
Date 
(DD-MMM-YYYY)]])</f>
        <v>7</v>
      </c>
      <c r="AW61" s="65"/>
      <c r="AX61" s="66"/>
      <c r="AY61" s="126"/>
      <c r="AZ61" s="98"/>
      <c r="BA61" s="64">
        <f>WEEKDAY(Sheet_1_Table_1_136[[#This Row],[Lesson 4
Date 
(DD-MMM-YYYY)]])</f>
        <v>7</v>
      </c>
      <c r="BB61" s="65"/>
      <c r="BC61" s="66"/>
      <c r="BD61" s="126"/>
      <c r="BE61" s="63"/>
      <c r="BF61" s="64">
        <f>WEEKDAY(Sheet_1_Table_1_136[[#This Row],[Lesson 5
Date 
(DD-MMM-YYYY)]])</f>
        <v>7</v>
      </c>
      <c r="BG61" s="65"/>
      <c r="BH61" s="66"/>
      <c r="BI61" s="126"/>
      <c r="BJ61" s="98"/>
      <c r="BK61" s="64">
        <f>WEEKDAY(Sheet_1_Table_1_136[[#This Row],[Lesson 6
Date 
(DD-MMM-YYYY)]])</f>
        <v>7</v>
      </c>
      <c r="BL61" s="65"/>
      <c r="BM61" s="66"/>
      <c r="BN61" s="99"/>
      <c r="BO61" s="54" t="s">
        <v>1603</v>
      </c>
      <c r="BP61" s="69" t="s">
        <v>2113</v>
      </c>
      <c r="BQ61" s="69" t="s">
        <v>2114</v>
      </c>
      <c r="BR61" s="57" t="s">
        <v>2115</v>
      </c>
      <c r="BS61" s="52"/>
      <c r="BT61" s="56"/>
      <c r="BU61" s="56"/>
      <c r="BV61" s="70"/>
      <c r="BW61" s="60"/>
      <c r="BX61" s="71"/>
      <c r="BY61" s="56"/>
      <c r="BZ61" s="56"/>
      <c r="CA61" s="56"/>
      <c r="CB61" s="72"/>
      <c r="CC61" s="72"/>
      <c r="CD61" s="71"/>
      <c r="CE61" s="60" t="s">
        <v>2116</v>
      </c>
      <c r="CF61" s="164" t="s">
        <v>2117</v>
      </c>
      <c r="CG61" s="56"/>
      <c r="CH61" s="57"/>
      <c r="CI61" s="52" t="s">
        <v>146</v>
      </c>
      <c r="CJ61" s="52" t="s">
        <v>142</v>
      </c>
      <c r="CK61" s="52" t="s">
        <v>142</v>
      </c>
      <c r="CL61" s="52" t="s">
        <v>142</v>
      </c>
      <c r="CM61" s="52" t="s">
        <v>142</v>
      </c>
      <c r="CN61" s="52" t="s">
        <v>142</v>
      </c>
      <c r="CO61" s="52" t="s">
        <v>142</v>
      </c>
      <c r="CP61" s="52" t="s">
        <v>142</v>
      </c>
      <c r="CQ61" s="52" t="s">
        <v>142</v>
      </c>
      <c r="CR61" s="52" t="s">
        <v>142</v>
      </c>
      <c r="CS61" s="52" t="s">
        <v>142</v>
      </c>
      <c r="CT61" s="52" t="s">
        <v>146</v>
      </c>
      <c r="CU61" s="52" t="s">
        <v>142</v>
      </c>
      <c r="CV61" s="52" t="s">
        <v>142</v>
      </c>
      <c r="CW61" s="52" t="s">
        <v>142</v>
      </c>
      <c r="CX61" s="52" t="s">
        <v>142</v>
      </c>
      <c r="CY61" s="52" t="s">
        <v>142</v>
      </c>
      <c r="CZ61" s="59" t="s">
        <v>142</v>
      </c>
      <c r="DA61" s="54" t="s">
        <v>154</v>
      </c>
      <c r="DB61" s="50" t="s">
        <v>155</v>
      </c>
      <c r="DC61" s="50" t="s">
        <v>156</v>
      </c>
      <c r="DD61" s="50" t="s">
        <v>146</v>
      </c>
      <c r="DE61" s="50" t="s">
        <v>157</v>
      </c>
      <c r="DF61" s="50" t="s">
        <v>146</v>
      </c>
      <c r="DG61" s="73"/>
      <c r="DH61" s="73"/>
      <c r="DI61" s="74"/>
      <c r="DJ61" s="75"/>
      <c r="DK61" s="76" t="s">
        <v>146</v>
      </c>
      <c r="DL61" s="76" t="s">
        <v>146</v>
      </c>
      <c r="DM61" s="76" t="s">
        <v>146</v>
      </c>
      <c r="DN61" s="790"/>
    </row>
    <row r="62" spans="1:156" ht="120">
      <c r="A62" s="48">
        <v>60</v>
      </c>
      <c r="B62" s="49">
        <v>202609</v>
      </c>
      <c r="C62" s="50" t="s">
        <v>2105</v>
      </c>
      <c r="D62" s="50" t="s">
        <v>133</v>
      </c>
      <c r="E62" s="198">
        <v>5973</v>
      </c>
      <c r="F62" s="54" t="s">
        <v>2106</v>
      </c>
      <c r="G62" s="53" t="s">
        <v>1713</v>
      </c>
      <c r="H62" s="95" t="s">
        <v>2107</v>
      </c>
      <c r="I62" s="84" t="s">
        <v>2108</v>
      </c>
      <c r="J62" s="214" t="s">
        <v>1959</v>
      </c>
      <c r="K62" s="55" t="s">
        <v>1877</v>
      </c>
      <c r="L62" s="55" t="s">
        <v>2118</v>
      </c>
      <c r="M62" s="56" t="s">
        <v>2110</v>
      </c>
      <c r="N62" s="211" t="s">
        <v>2111</v>
      </c>
      <c r="O62" s="162" t="s">
        <v>142</v>
      </c>
      <c r="P62" s="162" t="s">
        <v>142</v>
      </c>
      <c r="Q62" s="214" t="s">
        <v>1600</v>
      </c>
      <c r="R62" s="61" t="str">
        <f>VLOOKUP(Sheet_1_Table_1_136[[#This Row],[Learning Domain]],[20]List!$A$7:$B$12,2,0)</f>
        <v>RE</v>
      </c>
      <c r="S62" s="55">
        <v>0</v>
      </c>
      <c r="T62" s="55">
        <v>0</v>
      </c>
      <c r="U62" s="55">
        <v>0</v>
      </c>
      <c r="V62" s="55">
        <v>0</v>
      </c>
      <c r="W62" s="55">
        <v>0</v>
      </c>
      <c r="X62" s="55">
        <v>80</v>
      </c>
      <c r="Y62" s="55">
        <v>20</v>
      </c>
      <c r="Z62" s="55">
        <v>0</v>
      </c>
      <c r="AA62" s="55">
        <v>0</v>
      </c>
      <c r="AB62" s="53">
        <v>100</v>
      </c>
      <c r="AC62" s="52" t="s">
        <v>144</v>
      </c>
      <c r="AD62" s="201" t="s">
        <v>190</v>
      </c>
      <c r="AE62" s="201" t="s">
        <v>146</v>
      </c>
      <c r="AF62" s="201" t="s">
        <v>142</v>
      </c>
      <c r="AG62" s="201" t="s">
        <v>146</v>
      </c>
      <c r="AH62" s="201">
        <v>1</v>
      </c>
      <c r="AI62" s="55">
        <v>40</v>
      </c>
      <c r="AJ62" s="62">
        <f>Sheet_1_Table_1_136[[#This Row],[ILP Units Per Session]]*Sheet_1_Table_1_136[[#This Row],[Quota]]</f>
        <v>40</v>
      </c>
      <c r="AK62" s="203">
        <v>46259</v>
      </c>
      <c r="AL62" s="64">
        <f>WEEKDAY(Sheet_1_Table_1_136[[#This Row],[Lesson 1 
Date 
(DD-MMM-YYYY)]])</f>
        <v>3</v>
      </c>
      <c r="AM62" s="204">
        <v>0.83333333333333337</v>
      </c>
      <c r="AN62" s="205">
        <v>0.89583333333333337</v>
      </c>
      <c r="AO62" s="207" t="s">
        <v>2112</v>
      </c>
      <c r="AP62" s="555"/>
      <c r="AQ62" s="64">
        <f>WEEKDAY(Sheet_1_Table_1_136[[#This Row],[Lesson 2
Date 
(DD-MMM-YYYY)]])</f>
        <v>7</v>
      </c>
      <c r="AR62" s="65"/>
      <c r="AS62" s="66"/>
      <c r="AT62" s="126"/>
      <c r="AU62" s="63"/>
      <c r="AV62" s="64">
        <f>WEEKDAY(Sheet_1_Table_1_136[[#This Row],[Lesson 3
Date 
(DD-MMM-YYYY)]])</f>
        <v>7</v>
      </c>
      <c r="AW62" s="65"/>
      <c r="AX62" s="66"/>
      <c r="AY62" s="126"/>
      <c r="AZ62" s="98"/>
      <c r="BA62" s="64">
        <f>WEEKDAY(Sheet_1_Table_1_136[[#This Row],[Lesson 4
Date 
(DD-MMM-YYYY)]])</f>
        <v>7</v>
      </c>
      <c r="BB62" s="65"/>
      <c r="BC62" s="66"/>
      <c r="BD62" s="126"/>
      <c r="BE62" s="63"/>
      <c r="BF62" s="64">
        <f>WEEKDAY(Sheet_1_Table_1_136[[#This Row],[Lesson 5
Date 
(DD-MMM-YYYY)]])</f>
        <v>7</v>
      </c>
      <c r="BG62" s="65"/>
      <c r="BH62" s="66"/>
      <c r="BI62" s="126"/>
      <c r="BJ62" s="98"/>
      <c r="BK62" s="64">
        <f>WEEKDAY(Sheet_1_Table_1_136[[#This Row],[Lesson 6
Date 
(DD-MMM-YYYY)]])</f>
        <v>7</v>
      </c>
      <c r="BL62" s="65"/>
      <c r="BM62" s="66"/>
      <c r="BN62" s="99"/>
      <c r="BO62" s="208" t="s">
        <v>1603</v>
      </c>
      <c r="BP62" s="209" t="s">
        <v>2113</v>
      </c>
      <c r="BQ62" s="209" t="s">
        <v>2114</v>
      </c>
      <c r="BR62" s="57" t="s">
        <v>2115</v>
      </c>
      <c r="BS62" s="52"/>
      <c r="BT62" s="210"/>
      <c r="BU62" s="210"/>
      <c r="BV62" s="70"/>
      <c r="BW62" s="60"/>
      <c r="BX62" s="71"/>
      <c r="BY62" s="210" t="s">
        <v>184</v>
      </c>
      <c r="BZ62" s="210"/>
      <c r="CA62" s="210" t="s">
        <v>184</v>
      </c>
      <c r="CB62" s="212"/>
      <c r="CC62" s="212"/>
      <c r="CD62" s="213"/>
      <c r="CE62" s="214" t="s">
        <v>2116</v>
      </c>
      <c r="CF62" s="464" t="s">
        <v>2117</v>
      </c>
      <c r="CG62" s="56"/>
      <c r="CH62" s="57"/>
      <c r="CI62" s="215" t="s">
        <v>146</v>
      </c>
      <c r="CJ62" s="52" t="s">
        <v>142</v>
      </c>
      <c r="CK62" s="52" t="s">
        <v>142</v>
      </c>
      <c r="CL62" s="52" t="s">
        <v>142</v>
      </c>
      <c r="CM62" s="52" t="s">
        <v>142</v>
      </c>
      <c r="CN62" s="52" t="s">
        <v>142</v>
      </c>
      <c r="CO62" s="52" t="s">
        <v>142</v>
      </c>
      <c r="CP62" s="52" t="s">
        <v>142</v>
      </c>
      <c r="CQ62" s="52" t="s">
        <v>142</v>
      </c>
      <c r="CR62" s="52" t="s">
        <v>142</v>
      </c>
      <c r="CS62" s="52" t="s">
        <v>142</v>
      </c>
      <c r="CT62" s="52" t="s">
        <v>146</v>
      </c>
      <c r="CU62" s="52" t="s">
        <v>142</v>
      </c>
      <c r="CV62" s="52" t="s">
        <v>142</v>
      </c>
      <c r="CW62" s="52" t="s">
        <v>142</v>
      </c>
      <c r="CX62" s="52" t="s">
        <v>142</v>
      </c>
      <c r="CY62" s="52" t="s">
        <v>142</v>
      </c>
      <c r="CZ62" s="59" t="s">
        <v>142</v>
      </c>
      <c r="DA62" s="54" t="s">
        <v>154</v>
      </c>
      <c r="DB62" s="50" t="s">
        <v>155</v>
      </c>
      <c r="DC62" s="50" t="s">
        <v>156</v>
      </c>
      <c r="DD62" s="50" t="s">
        <v>146</v>
      </c>
      <c r="DE62" s="50" t="s">
        <v>157</v>
      </c>
      <c r="DF62" s="50" t="s">
        <v>146</v>
      </c>
      <c r="DG62" s="216"/>
      <c r="DH62" s="216"/>
      <c r="DI62" s="74"/>
      <c r="DJ62" s="75"/>
      <c r="DK62" s="76" t="s">
        <v>146</v>
      </c>
      <c r="DL62" s="76" t="s">
        <v>146</v>
      </c>
      <c r="DM62" s="76" t="s">
        <v>146</v>
      </c>
      <c r="DN62" s="790"/>
    </row>
    <row r="63" spans="1:156" ht="105">
      <c r="A63" s="48">
        <v>61</v>
      </c>
      <c r="B63" s="49">
        <v>202609</v>
      </c>
      <c r="C63" s="50" t="s">
        <v>2119</v>
      </c>
      <c r="D63" s="50" t="s">
        <v>133</v>
      </c>
      <c r="E63" s="198">
        <v>5974</v>
      </c>
      <c r="F63" s="54" t="s">
        <v>2106</v>
      </c>
      <c r="G63" s="53" t="s">
        <v>1713</v>
      </c>
      <c r="H63" s="95" t="s">
        <v>2107</v>
      </c>
      <c r="I63" s="84" t="s">
        <v>2108</v>
      </c>
      <c r="J63" s="214" t="s">
        <v>2120</v>
      </c>
      <c r="K63" s="55" t="s">
        <v>2121</v>
      </c>
      <c r="L63" s="55"/>
      <c r="M63" s="56" t="s">
        <v>2122</v>
      </c>
      <c r="N63" s="211" t="s">
        <v>2123</v>
      </c>
      <c r="O63" s="162" t="s">
        <v>142</v>
      </c>
      <c r="P63" s="162" t="s">
        <v>142</v>
      </c>
      <c r="Q63" s="214" t="s">
        <v>1600</v>
      </c>
      <c r="R63" s="61" t="str">
        <f>VLOOKUP(Sheet_1_Table_1_136[[#This Row],[Learning Domain]],[20]List!$A$7:$B$12,2,0)</f>
        <v>RE</v>
      </c>
      <c r="S63" s="55">
        <v>0</v>
      </c>
      <c r="T63" s="55">
        <v>0</v>
      </c>
      <c r="U63" s="55">
        <v>0</v>
      </c>
      <c r="V63" s="55">
        <v>0</v>
      </c>
      <c r="W63" s="55">
        <v>0</v>
      </c>
      <c r="X63" s="55">
        <v>20</v>
      </c>
      <c r="Y63" s="55">
        <v>80</v>
      </c>
      <c r="Z63" s="55">
        <v>0</v>
      </c>
      <c r="AA63" s="55">
        <v>0</v>
      </c>
      <c r="AB63" s="53">
        <v>100</v>
      </c>
      <c r="AC63" s="52" t="s">
        <v>245</v>
      </c>
      <c r="AD63" s="201" t="s">
        <v>190</v>
      </c>
      <c r="AE63" s="201" t="s">
        <v>146</v>
      </c>
      <c r="AF63" s="201" t="s">
        <v>146</v>
      </c>
      <c r="AG63" s="201" t="s">
        <v>146</v>
      </c>
      <c r="AH63" s="201">
        <v>1</v>
      </c>
      <c r="AI63" s="55">
        <v>60</v>
      </c>
      <c r="AJ63" s="62">
        <f>Sheet_1_Table_1_136[[#This Row],[ILP Units Per Session]]*Sheet_1_Table_1_136[[#This Row],[Quota]]</f>
        <v>60</v>
      </c>
      <c r="AK63" s="203">
        <v>46261</v>
      </c>
      <c r="AL63" s="64">
        <f>WEEKDAY(Sheet_1_Table_1_136[[#This Row],[Lesson 1 
Date 
(DD-MMM-YYYY)]])</f>
        <v>5</v>
      </c>
      <c r="AM63" s="65">
        <v>0.75</v>
      </c>
      <c r="AN63" s="66">
        <v>0.83333333333333337</v>
      </c>
      <c r="AO63" s="207" t="s">
        <v>2124</v>
      </c>
      <c r="AP63" s="555"/>
      <c r="AQ63" s="64">
        <f>WEEKDAY(Sheet_1_Table_1_136[[#This Row],[Lesson 2
Date 
(DD-MMM-YYYY)]])</f>
        <v>7</v>
      </c>
      <c r="AR63" s="65"/>
      <c r="AS63" s="66"/>
      <c r="AT63" s="126"/>
      <c r="AU63" s="63"/>
      <c r="AV63" s="64">
        <f>WEEKDAY(Sheet_1_Table_1_136[[#This Row],[Lesson 3
Date 
(DD-MMM-YYYY)]])</f>
        <v>7</v>
      </c>
      <c r="AW63" s="65"/>
      <c r="AX63" s="66"/>
      <c r="AY63" s="126"/>
      <c r="AZ63" s="98"/>
      <c r="BA63" s="64">
        <f>WEEKDAY(Sheet_1_Table_1_136[[#This Row],[Lesson 4
Date 
(DD-MMM-YYYY)]])</f>
        <v>7</v>
      </c>
      <c r="BB63" s="65"/>
      <c r="BC63" s="66"/>
      <c r="BD63" s="126"/>
      <c r="BE63" s="63"/>
      <c r="BF63" s="64">
        <f>WEEKDAY(Sheet_1_Table_1_136[[#This Row],[Lesson 5
Date 
(DD-MMM-YYYY)]])</f>
        <v>7</v>
      </c>
      <c r="BG63" s="65"/>
      <c r="BH63" s="66"/>
      <c r="BI63" s="126"/>
      <c r="BJ63" s="98"/>
      <c r="BK63" s="64">
        <f>WEEKDAY(Sheet_1_Table_1_136[[#This Row],[Lesson 6
Date 
(DD-MMM-YYYY)]])</f>
        <v>7</v>
      </c>
      <c r="BL63" s="65"/>
      <c r="BM63" s="66"/>
      <c r="BN63" s="99"/>
      <c r="BO63" s="208" t="s">
        <v>1603</v>
      </c>
      <c r="BP63" s="209" t="s">
        <v>2113</v>
      </c>
      <c r="BQ63" s="209" t="s">
        <v>2114</v>
      </c>
      <c r="BR63" s="57" t="s">
        <v>2115</v>
      </c>
      <c r="BS63" s="52"/>
      <c r="BT63" s="210"/>
      <c r="BU63" s="210"/>
      <c r="BV63" s="70"/>
      <c r="BW63" s="60"/>
      <c r="BX63" s="71"/>
      <c r="BY63" s="210" t="s">
        <v>184</v>
      </c>
      <c r="BZ63" s="210"/>
      <c r="CA63" s="210" t="s">
        <v>184</v>
      </c>
      <c r="CB63" s="212"/>
      <c r="CC63" s="212"/>
      <c r="CD63" s="213"/>
      <c r="CE63" s="214" t="s">
        <v>2116</v>
      </c>
      <c r="CF63" s="464" t="s">
        <v>2117</v>
      </c>
      <c r="CG63" s="56"/>
      <c r="CH63" s="57"/>
      <c r="CI63" s="215" t="s">
        <v>146</v>
      </c>
      <c r="CJ63" s="52" t="s">
        <v>142</v>
      </c>
      <c r="CK63" s="52" t="s">
        <v>142</v>
      </c>
      <c r="CL63" s="52" t="s">
        <v>142</v>
      </c>
      <c r="CM63" s="52" t="s">
        <v>142</v>
      </c>
      <c r="CN63" s="52" t="s">
        <v>142</v>
      </c>
      <c r="CO63" s="52" t="s">
        <v>142</v>
      </c>
      <c r="CP63" s="52" t="s">
        <v>142</v>
      </c>
      <c r="CQ63" s="52" t="s">
        <v>142</v>
      </c>
      <c r="CR63" s="52" t="s">
        <v>142</v>
      </c>
      <c r="CS63" s="52" t="s">
        <v>142</v>
      </c>
      <c r="CT63" s="52" t="s">
        <v>146</v>
      </c>
      <c r="CU63" s="52" t="s">
        <v>142</v>
      </c>
      <c r="CV63" s="52" t="s">
        <v>142</v>
      </c>
      <c r="CW63" s="52" t="s">
        <v>142</v>
      </c>
      <c r="CX63" s="52" t="s">
        <v>142</v>
      </c>
      <c r="CY63" s="52" t="s">
        <v>142</v>
      </c>
      <c r="CZ63" s="59" t="s">
        <v>142</v>
      </c>
      <c r="DA63" s="54" t="s">
        <v>154</v>
      </c>
      <c r="DB63" s="50" t="s">
        <v>155</v>
      </c>
      <c r="DC63" s="50" t="s">
        <v>156</v>
      </c>
      <c r="DD63" s="50" t="s">
        <v>146</v>
      </c>
      <c r="DE63" s="50" t="s">
        <v>157</v>
      </c>
      <c r="DF63" s="50" t="s">
        <v>146</v>
      </c>
      <c r="DG63" s="216"/>
      <c r="DH63" s="216"/>
      <c r="DI63" s="74"/>
      <c r="DJ63" s="75"/>
      <c r="DK63" s="76" t="s">
        <v>146</v>
      </c>
      <c r="DL63" s="76" t="s">
        <v>146</v>
      </c>
      <c r="DM63" s="76" t="s">
        <v>146</v>
      </c>
      <c r="DN63" s="790"/>
    </row>
    <row r="64" spans="1:156" ht="177.75">
      <c r="A64" s="48">
        <v>62</v>
      </c>
      <c r="B64" s="49">
        <v>202609</v>
      </c>
      <c r="C64" s="50" t="s">
        <v>2125</v>
      </c>
      <c r="D64" s="50" t="s">
        <v>133</v>
      </c>
      <c r="E64" s="51">
        <v>5987</v>
      </c>
      <c r="F64" s="54" t="s">
        <v>2106</v>
      </c>
      <c r="G64" s="53" t="s">
        <v>1713</v>
      </c>
      <c r="H64" s="95" t="s">
        <v>2107</v>
      </c>
      <c r="I64" s="84" t="s">
        <v>2108</v>
      </c>
      <c r="J64" s="60" t="s">
        <v>2126</v>
      </c>
      <c r="K64" s="55" t="s">
        <v>2127</v>
      </c>
      <c r="L64" s="55"/>
      <c r="M64" s="56" t="s">
        <v>2128</v>
      </c>
      <c r="N64" s="57" t="s">
        <v>2129</v>
      </c>
      <c r="O64" s="177" t="s">
        <v>142</v>
      </c>
      <c r="P64" s="177" t="s">
        <v>142</v>
      </c>
      <c r="Q64" s="214" t="s">
        <v>1600</v>
      </c>
      <c r="R64" s="61" t="str">
        <f>VLOOKUP(Sheet_1_Table_1_136[[#This Row],[Learning Domain]],[20]List!$A$7:$B$12,2,0)</f>
        <v>RE</v>
      </c>
      <c r="S64" s="55">
        <v>0</v>
      </c>
      <c r="T64" s="55">
        <v>0</v>
      </c>
      <c r="U64" s="55">
        <v>0</v>
      </c>
      <c r="V64" s="55">
        <v>0</v>
      </c>
      <c r="W64" s="55">
        <v>0</v>
      </c>
      <c r="X64" s="55">
        <v>70</v>
      </c>
      <c r="Y64" s="55">
        <v>30</v>
      </c>
      <c r="Z64" s="55">
        <v>0</v>
      </c>
      <c r="AA64" s="55">
        <v>0</v>
      </c>
      <c r="AB64" s="53">
        <v>100</v>
      </c>
      <c r="AC64" s="52" t="s">
        <v>144</v>
      </c>
      <c r="AD64" s="55" t="s">
        <v>190</v>
      </c>
      <c r="AE64" s="55" t="s">
        <v>142</v>
      </c>
      <c r="AF64" s="55" t="s">
        <v>146</v>
      </c>
      <c r="AG64" s="55" t="s">
        <v>146</v>
      </c>
      <c r="AH64" s="55">
        <v>1</v>
      </c>
      <c r="AI64" s="55">
        <v>40</v>
      </c>
      <c r="AJ64" s="62">
        <f>Sheet_1_Table_1_136[[#This Row],[ILP Units Per Session]]*Sheet_1_Table_1_136[[#This Row],[Quota]]</f>
        <v>40</v>
      </c>
      <c r="AK64" s="179">
        <v>46282</v>
      </c>
      <c r="AL64" s="64">
        <f>WEEKDAY(Sheet_1_Table_1_136[[#This Row],[Lesson 1 
Date 
(DD-MMM-YYYY)]])</f>
        <v>5</v>
      </c>
      <c r="AM64" s="65">
        <v>0.72916666666666663</v>
      </c>
      <c r="AN64" s="66">
        <v>0.77083333333333337</v>
      </c>
      <c r="AO64" s="67" t="s">
        <v>191</v>
      </c>
      <c r="AP64" s="555"/>
      <c r="AQ64" s="64">
        <f>WEEKDAY(Sheet_1_Table_1_136[[#This Row],[Lesson 2
Date 
(DD-MMM-YYYY)]])</f>
        <v>7</v>
      </c>
      <c r="AR64" s="65"/>
      <c r="AS64" s="66"/>
      <c r="AT64" s="126"/>
      <c r="AU64" s="63"/>
      <c r="AV64" s="64">
        <f>WEEKDAY(Sheet_1_Table_1_136[[#This Row],[Lesson 3
Date 
(DD-MMM-YYYY)]])</f>
        <v>7</v>
      </c>
      <c r="AW64" s="65"/>
      <c r="AX64" s="66"/>
      <c r="AY64" s="126"/>
      <c r="AZ64" s="98"/>
      <c r="BA64" s="64">
        <f>WEEKDAY(Sheet_1_Table_1_136[[#This Row],[Lesson 4
Date 
(DD-MMM-YYYY)]])</f>
        <v>7</v>
      </c>
      <c r="BB64" s="65"/>
      <c r="BC64" s="66"/>
      <c r="BD64" s="126"/>
      <c r="BE64" s="63"/>
      <c r="BF64" s="64">
        <f>WEEKDAY(Sheet_1_Table_1_136[[#This Row],[Lesson 5
Date 
(DD-MMM-YYYY)]])</f>
        <v>7</v>
      </c>
      <c r="BG64" s="65"/>
      <c r="BH64" s="66"/>
      <c r="BI64" s="126"/>
      <c r="BJ64" s="98"/>
      <c r="BK64" s="64">
        <f>WEEKDAY(Sheet_1_Table_1_136[[#This Row],[Lesson 6
Date 
(DD-MMM-YYYY)]])</f>
        <v>7</v>
      </c>
      <c r="BL64" s="65"/>
      <c r="BM64" s="66"/>
      <c r="BN64" s="99"/>
      <c r="BO64" s="54" t="s">
        <v>163</v>
      </c>
      <c r="BP64" s="69" t="s">
        <v>2130</v>
      </c>
      <c r="BQ64" s="55" t="s">
        <v>2131</v>
      </c>
      <c r="BR64" s="57" t="s">
        <v>2132</v>
      </c>
      <c r="BS64" s="52"/>
      <c r="BT64" s="56"/>
      <c r="BU64" s="56"/>
      <c r="BV64" s="70"/>
      <c r="BW64" s="60"/>
      <c r="BX64" s="71"/>
      <c r="BY64" s="56" t="s">
        <v>149</v>
      </c>
      <c r="BZ64" s="56"/>
      <c r="CA64" s="56" t="s">
        <v>149</v>
      </c>
      <c r="CB64" s="72"/>
      <c r="CC64" s="72"/>
      <c r="CD64" s="71"/>
      <c r="CE64" s="56" t="s">
        <v>2133</v>
      </c>
      <c r="CF64" s="291" t="s">
        <v>2134</v>
      </c>
      <c r="CG64" s="56" t="s">
        <v>2116</v>
      </c>
      <c r="CH64" s="291" t="s">
        <v>2117</v>
      </c>
      <c r="CI64" s="52" t="s">
        <v>146</v>
      </c>
      <c r="CJ64" s="52" t="s">
        <v>142</v>
      </c>
      <c r="CK64" s="52" t="s">
        <v>142</v>
      </c>
      <c r="CL64" s="52" t="s">
        <v>142</v>
      </c>
      <c r="CM64" s="52" t="s">
        <v>142</v>
      </c>
      <c r="CN64" s="52" t="s">
        <v>142</v>
      </c>
      <c r="CO64" s="52" t="s">
        <v>142</v>
      </c>
      <c r="CP64" s="52" t="s">
        <v>142</v>
      </c>
      <c r="CQ64" s="52" t="s">
        <v>142</v>
      </c>
      <c r="CR64" s="52" t="s">
        <v>142</v>
      </c>
      <c r="CS64" s="52" t="s">
        <v>142</v>
      </c>
      <c r="CT64" s="52" t="s">
        <v>146</v>
      </c>
      <c r="CU64" s="52" t="s">
        <v>142</v>
      </c>
      <c r="CV64" s="52" t="s">
        <v>142</v>
      </c>
      <c r="CW64" s="52" t="s">
        <v>142</v>
      </c>
      <c r="CX64" s="52" t="s">
        <v>142</v>
      </c>
      <c r="CY64" s="52" t="s">
        <v>142</v>
      </c>
      <c r="CZ64" s="59" t="s">
        <v>142</v>
      </c>
      <c r="DA64" s="54" t="s">
        <v>154</v>
      </c>
      <c r="DB64" s="50" t="s">
        <v>155</v>
      </c>
      <c r="DC64" s="50" t="s">
        <v>156</v>
      </c>
      <c r="DD64" s="50" t="s">
        <v>146</v>
      </c>
      <c r="DE64" s="50" t="s">
        <v>157</v>
      </c>
      <c r="DF64" s="50" t="s">
        <v>146</v>
      </c>
      <c r="DG64" s="73"/>
      <c r="DH64" s="73"/>
      <c r="DI64" s="74"/>
      <c r="DJ64" s="75"/>
      <c r="DK64" s="76" t="s">
        <v>146</v>
      </c>
      <c r="DL64" s="76" t="s">
        <v>146</v>
      </c>
      <c r="DM64" s="76" t="s">
        <v>146</v>
      </c>
      <c r="DN64" s="790"/>
    </row>
    <row r="65" spans="1:118" ht="90">
      <c r="A65" s="48">
        <v>63</v>
      </c>
      <c r="B65" s="49">
        <v>202609</v>
      </c>
      <c r="C65" s="50" t="s">
        <v>2135</v>
      </c>
      <c r="D65" s="50" t="s">
        <v>251</v>
      </c>
      <c r="E65" s="51">
        <v>5988</v>
      </c>
      <c r="F65" s="54" t="s">
        <v>2106</v>
      </c>
      <c r="G65" s="53" t="s">
        <v>1713</v>
      </c>
      <c r="H65" s="95" t="s">
        <v>2107</v>
      </c>
      <c r="I65" s="84" t="s">
        <v>2108</v>
      </c>
      <c r="J65" s="60" t="s">
        <v>2136</v>
      </c>
      <c r="K65" s="55" t="s">
        <v>2137</v>
      </c>
      <c r="L65" s="55"/>
      <c r="M65" s="56" t="s">
        <v>2138</v>
      </c>
      <c r="N65" s="57" t="s">
        <v>2139</v>
      </c>
      <c r="O65" s="78" t="s">
        <v>146</v>
      </c>
      <c r="P65" s="78" t="s">
        <v>146</v>
      </c>
      <c r="Q65" s="214" t="s">
        <v>1600</v>
      </c>
      <c r="R65" s="61" t="str">
        <f>VLOOKUP(Sheet_1_Table_1_136[[#This Row],[Learning Domain]],[20]List!$A$7:$B$12,2,0)</f>
        <v>RE</v>
      </c>
      <c r="S65" s="55">
        <v>0</v>
      </c>
      <c r="T65" s="55">
        <v>0</v>
      </c>
      <c r="U65" s="55">
        <v>0</v>
      </c>
      <c r="V65" s="55">
        <v>20</v>
      </c>
      <c r="W65" s="55">
        <v>0</v>
      </c>
      <c r="X65" s="55">
        <v>80</v>
      </c>
      <c r="Y65" s="55">
        <v>0</v>
      </c>
      <c r="Z65" s="55">
        <v>0</v>
      </c>
      <c r="AA65" s="55">
        <v>0</v>
      </c>
      <c r="AB65" s="53">
        <v>100</v>
      </c>
      <c r="AC65" s="52" t="s">
        <v>199</v>
      </c>
      <c r="AD65" s="55" t="s">
        <v>190</v>
      </c>
      <c r="AE65" s="55" t="s">
        <v>142</v>
      </c>
      <c r="AF65" s="55" t="s">
        <v>146</v>
      </c>
      <c r="AG65" s="55" t="s">
        <v>146</v>
      </c>
      <c r="AH65" s="55">
        <v>1</v>
      </c>
      <c r="AI65" s="55">
        <v>20</v>
      </c>
      <c r="AJ65" s="62">
        <f>Sheet_1_Table_1_136[[#This Row],[ILP Units Per Session]]*Sheet_1_Table_1_136[[#This Row],[Quota]]</f>
        <v>20</v>
      </c>
      <c r="AK65" s="63">
        <v>46287</v>
      </c>
      <c r="AL65" s="64">
        <f>WEEKDAY(Sheet_1_Table_1_136[[#This Row],[Lesson 1 
Date 
(DD-MMM-YYYY)]])</f>
        <v>3</v>
      </c>
      <c r="AM65" s="65">
        <v>0.77083333333333337</v>
      </c>
      <c r="AN65" s="66">
        <v>0.8125</v>
      </c>
      <c r="AO65" s="67" t="s">
        <v>2112</v>
      </c>
      <c r="AP65" s="555"/>
      <c r="AQ65" s="64">
        <f>WEEKDAY(Sheet_1_Table_1_136[[#This Row],[Lesson 2
Date 
(DD-MMM-YYYY)]])</f>
        <v>7</v>
      </c>
      <c r="AR65" s="65"/>
      <c r="AS65" s="66"/>
      <c r="AT65" s="126"/>
      <c r="AU65" s="63"/>
      <c r="AV65" s="64">
        <f>WEEKDAY(Sheet_1_Table_1_136[[#This Row],[Lesson 3
Date 
(DD-MMM-YYYY)]])</f>
        <v>7</v>
      </c>
      <c r="AW65" s="65"/>
      <c r="AX65" s="66"/>
      <c r="AY65" s="126"/>
      <c r="AZ65" s="98"/>
      <c r="BA65" s="64">
        <f>WEEKDAY(Sheet_1_Table_1_136[[#This Row],[Lesson 4
Date 
(DD-MMM-YYYY)]])</f>
        <v>7</v>
      </c>
      <c r="BB65" s="65"/>
      <c r="BC65" s="66"/>
      <c r="BD65" s="126"/>
      <c r="BE65" s="63"/>
      <c r="BF65" s="64">
        <f>WEEKDAY(Sheet_1_Table_1_136[[#This Row],[Lesson 5
Date 
(DD-MMM-YYYY)]])</f>
        <v>7</v>
      </c>
      <c r="BG65" s="65"/>
      <c r="BH65" s="66"/>
      <c r="BI65" s="126"/>
      <c r="BJ65" s="98"/>
      <c r="BK65" s="64">
        <f>WEEKDAY(Sheet_1_Table_1_136[[#This Row],[Lesson 6
Date 
(DD-MMM-YYYY)]])</f>
        <v>7</v>
      </c>
      <c r="BL65" s="65"/>
      <c r="BM65" s="66"/>
      <c r="BN65" s="99"/>
      <c r="BO65" s="54" t="s">
        <v>163</v>
      </c>
      <c r="BP65" s="69" t="s">
        <v>2140</v>
      </c>
      <c r="BQ65" s="69" t="s">
        <v>2141</v>
      </c>
      <c r="BR65" s="57" t="s">
        <v>2142</v>
      </c>
      <c r="BS65" s="52"/>
      <c r="BT65" s="56"/>
      <c r="BU65" s="56"/>
      <c r="BV65" s="70"/>
      <c r="BW65" s="60"/>
      <c r="BX65" s="71"/>
      <c r="BY65" s="56" t="s">
        <v>149</v>
      </c>
      <c r="BZ65" s="56"/>
      <c r="CA65" s="56" t="s">
        <v>1751</v>
      </c>
      <c r="CB65" s="72"/>
      <c r="CC65" s="72"/>
      <c r="CD65" s="71"/>
      <c r="CE65" s="56" t="s">
        <v>2143</v>
      </c>
      <c r="CF65" s="291" t="s">
        <v>2144</v>
      </c>
      <c r="CG65" s="56" t="s">
        <v>2116</v>
      </c>
      <c r="CH65" s="291" t="s">
        <v>2117</v>
      </c>
      <c r="CI65" s="52" t="s">
        <v>146</v>
      </c>
      <c r="CJ65" s="52" t="s">
        <v>142</v>
      </c>
      <c r="CK65" s="52" t="s">
        <v>142</v>
      </c>
      <c r="CL65" s="52" t="s">
        <v>142</v>
      </c>
      <c r="CM65" s="52" t="s">
        <v>142</v>
      </c>
      <c r="CN65" s="52" t="s">
        <v>142</v>
      </c>
      <c r="CO65" s="52" t="s">
        <v>142</v>
      </c>
      <c r="CP65" s="52" t="s">
        <v>142</v>
      </c>
      <c r="CQ65" s="52" t="s">
        <v>142</v>
      </c>
      <c r="CR65" s="52" t="s">
        <v>142</v>
      </c>
      <c r="CS65" s="52" t="s">
        <v>142</v>
      </c>
      <c r="CT65" s="52" t="s">
        <v>146</v>
      </c>
      <c r="CU65" s="52" t="s">
        <v>142</v>
      </c>
      <c r="CV65" s="52" t="s">
        <v>142</v>
      </c>
      <c r="CW65" s="52" t="s">
        <v>142</v>
      </c>
      <c r="CX65" s="52" t="s">
        <v>142</v>
      </c>
      <c r="CY65" s="52" t="s">
        <v>142</v>
      </c>
      <c r="CZ65" s="59" t="s">
        <v>142</v>
      </c>
      <c r="DA65" s="54" t="s">
        <v>154</v>
      </c>
      <c r="DB65" s="50" t="s">
        <v>155</v>
      </c>
      <c r="DC65" s="50" t="s">
        <v>156</v>
      </c>
      <c r="DD65" s="50" t="s">
        <v>146</v>
      </c>
      <c r="DE65" s="50" t="s">
        <v>157</v>
      </c>
      <c r="DF65" s="50" t="s">
        <v>146</v>
      </c>
      <c r="DG65" s="73"/>
      <c r="DH65" s="73"/>
      <c r="DI65" s="74"/>
      <c r="DJ65" s="75"/>
      <c r="DK65" s="76" t="s">
        <v>146</v>
      </c>
      <c r="DL65" s="76" t="s">
        <v>146</v>
      </c>
      <c r="DM65" s="76" t="s">
        <v>146</v>
      </c>
      <c r="DN65" s="790"/>
    </row>
    <row r="66" spans="1:118" ht="165">
      <c r="A66" s="48">
        <v>64</v>
      </c>
      <c r="B66" s="49">
        <v>202609</v>
      </c>
      <c r="C66" s="50" t="s">
        <v>2145</v>
      </c>
      <c r="D66" s="50" t="s">
        <v>174</v>
      </c>
      <c r="E66" s="51">
        <v>5989</v>
      </c>
      <c r="F66" s="54" t="s">
        <v>2106</v>
      </c>
      <c r="G66" s="53" t="s">
        <v>1713</v>
      </c>
      <c r="H66" s="95" t="s">
        <v>2107</v>
      </c>
      <c r="I66" s="84" t="s">
        <v>2108</v>
      </c>
      <c r="J66" s="60" t="s">
        <v>2146</v>
      </c>
      <c r="K66" s="55" t="s">
        <v>2147</v>
      </c>
      <c r="L66" s="55"/>
      <c r="M66" s="56" t="s">
        <v>2148</v>
      </c>
      <c r="N66" s="57" t="s">
        <v>2149</v>
      </c>
      <c r="O66" s="177" t="s">
        <v>142</v>
      </c>
      <c r="P66" s="177" t="s">
        <v>142</v>
      </c>
      <c r="Q66" s="214" t="s">
        <v>1600</v>
      </c>
      <c r="R66" s="61" t="str">
        <f>VLOOKUP(Sheet_1_Table_1_136[[#This Row],[Learning Domain]],[20]List!$A$7:$B$12,2,0)</f>
        <v>RE</v>
      </c>
      <c r="S66" s="55">
        <v>0</v>
      </c>
      <c r="T66" s="55">
        <v>0</v>
      </c>
      <c r="U66" s="55">
        <v>0</v>
      </c>
      <c r="V66" s="55">
        <v>0</v>
      </c>
      <c r="W66" s="55">
        <v>30</v>
      </c>
      <c r="X66" s="55">
        <v>70</v>
      </c>
      <c r="Y66" s="55">
        <v>0</v>
      </c>
      <c r="Z66" s="55">
        <v>0</v>
      </c>
      <c r="AA66" s="55">
        <v>0</v>
      </c>
      <c r="AB66" s="53">
        <v>100</v>
      </c>
      <c r="AC66" s="52" t="s">
        <v>144</v>
      </c>
      <c r="AD66" s="55" t="s">
        <v>386</v>
      </c>
      <c r="AE66" s="55" t="s">
        <v>146</v>
      </c>
      <c r="AF66" s="55" t="s">
        <v>142</v>
      </c>
      <c r="AG66" s="55" t="s">
        <v>142</v>
      </c>
      <c r="AH66" s="55">
        <v>1.5</v>
      </c>
      <c r="AI66" s="55">
        <v>150</v>
      </c>
      <c r="AJ66" s="62">
        <f>Sheet_1_Table_1_136[[#This Row],[ILP Units Per Session]]*Sheet_1_Table_1_136[[#This Row],[Quota]]</f>
        <v>225</v>
      </c>
      <c r="AK66" s="63">
        <v>46308</v>
      </c>
      <c r="AL66" s="64">
        <f>WEEKDAY(Sheet_1_Table_1_136[[#This Row],[Lesson 1 
Date 
(DD-MMM-YYYY)]])</f>
        <v>3</v>
      </c>
      <c r="AM66" s="65">
        <v>0.72916666666666663</v>
      </c>
      <c r="AN66" s="66">
        <v>0.79166666666666663</v>
      </c>
      <c r="AO66" s="67" t="s">
        <v>182</v>
      </c>
      <c r="AP66" s="555"/>
      <c r="AQ66" s="64">
        <f>WEEKDAY(Sheet_1_Table_1_136[[#This Row],[Lesson 2
Date 
(DD-MMM-YYYY)]])</f>
        <v>7</v>
      </c>
      <c r="AR66" s="65"/>
      <c r="AS66" s="66"/>
      <c r="AT66" s="126"/>
      <c r="AU66" s="63"/>
      <c r="AV66" s="64">
        <f>WEEKDAY(Sheet_1_Table_1_136[[#This Row],[Lesson 3
Date 
(DD-MMM-YYYY)]])</f>
        <v>7</v>
      </c>
      <c r="AW66" s="65"/>
      <c r="AX66" s="66"/>
      <c r="AY66" s="126"/>
      <c r="AZ66" s="98"/>
      <c r="BA66" s="64">
        <f>WEEKDAY(Sheet_1_Table_1_136[[#This Row],[Lesson 4
Date 
(DD-MMM-YYYY)]])</f>
        <v>7</v>
      </c>
      <c r="BB66" s="65"/>
      <c r="BC66" s="66"/>
      <c r="BD66" s="126"/>
      <c r="BE66" s="63"/>
      <c r="BF66" s="64">
        <f>WEEKDAY(Sheet_1_Table_1_136[[#This Row],[Lesson 5
Date 
(DD-MMM-YYYY)]])</f>
        <v>7</v>
      </c>
      <c r="BG66" s="65"/>
      <c r="BH66" s="66"/>
      <c r="BI66" s="126"/>
      <c r="BJ66" s="98"/>
      <c r="BK66" s="64">
        <f>WEEKDAY(Sheet_1_Table_1_136[[#This Row],[Lesson 6
Date 
(DD-MMM-YYYY)]])</f>
        <v>7</v>
      </c>
      <c r="BL66" s="65"/>
      <c r="BM66" s="66"/>
      <c r="BN66" s="99"/>
      <c r="BO66" s="54" t="s">
        <v>1603</v>
      </c>
      <c r="BP66" s="69" t="s">
        <v>2150</v>
      </c>
      <c r="BQ66" s="55" t="s">
        <v>2151</v>
      </c>
      <c r="BR66" s="57" t="s">
        <v>2152</v>
      </c>
      <c r="BS66" s="52"/>
      <c r="BT66" s="56"/>
      <c r="BU66" s="56"/>
      <c r="BV66" s="70"/>
      <c r="BW66" s="60"/>
      <c r="BX66" s="71"/>
      <c r="BY66" s="56" t="s">
        <v>149</v>
      </c>
      <c r="BZ66" s="56"/>
      <c r="CA66" s="56" t="s">
        <v>149</v>
      </c>
      <c r="CB66" s="72"/>
      <c r="CC66" s="72"/>
      <c r="CD66" s="71"/>
      <c r="CE66" s="56" t="s">
        <v>2153</v>
      </c>
      <c r="CF66" s="291" t="s">
        <v>2154</v>
      </c>
      <c r="CG66" s="56" t="s">
        <v>2116</v>
      </c>
      <c r="CH66" s="291" t="s">
        <v>2117</v>
      </c>
      <c r="CI66" s="52" t="s">
        <v>146</v>
      </c>
      <c r="CJ66" s="52" t="s">
        <v>142</v>
      </c>
      <c r="CK66" s="52" t="s">
        <v>142</v>
      </c>
      <c r="CL66" s="52" t="s">
        <v>142</v>
      </c>
      <c r="CM66" s="52" t="s">
        <v>142</v>
      </c>
      <c r="CN66" s="52" t="s">
        <v>142</v>
      </c>
      <c r="CO66" s="52" t="s">
        <v>142</v>
      </c>
      <c r="CP66" s="52" t="s">
        <v>142</v>
      </c>
      <c r="CQ66" s="52" t="s">
        <v>142</v>
      </c>
      <c r="CR66" s="52" t="s">
        <v>142</v>
      </c>
      <c r="CS66" s="52" t="s">
        <v>142</v>
      </c>
      <c r="CT66" s="52" t="s">
        <v>146</v>
      </c>
      <c r="CU66" s="52" t="s">
        <v>142</v>
      </c>
      <c r="CV66" s="52" t="s">
        <v>142</v>
      </c>
      <c r="CW66" s="52" t="s">
        <v>142</v>
      </c>
      <c r="CX66" s="52" t="s">
        <v>142</v>
      </c>
      <c r="CY66" s="52" t="s">
        <v>142</v>
      </c>
      <c r="CZ66" s="59" t="s">
        <v>142</v>
      </c>
      <c r="DA66" s="54" t="s">
        <v>154</v>
      </c>
      <c r="DB66" s="50" t="s">
        <v>155</v>
      </c>
      <c r="DC66" s="50" t="s">
        <v>156</v>
      </c>
      <c r="DD66" s="50" t="s">
        <v>146</v>
      </c>
      <c r="DE66" s="50" t="s">
        <v>157</v>
      </c>
      <c r="DF66" s="50" t="s">
        <v>146</v>
      </c>
      <c r="DG66" s="73"/>
      <c r="DH66" s="73"/>
      <c r="DI66" s="74"/>
      <c r="DJ66" s="75"/>
      <c r="DK66" s="76" t="s">
        <v>146</v>
      </c>
      <c r="DL66" s="76" t="s">
        <v>146</v>
      </c>
      <c r="DM66" s="76" t="s">
        <v>146</v>
      </c>
      <c r="DN66" s="790"/>
    </row>
    <row r="67" spans="1:118" ht="60">
      <c r="A67" s="48">
        <v>65</v>
      </c>
      <c r="B67" s="49">
        <v>202609</v>
      </c>
      <c r="C67" s="50" t="s">
        <v>2155</v>
      </c>
      <c r="D67" s="50" t="s">
        <v>174</v>
      </c>
      <c r="E67" s="51">
        <v>5990</v>
      </c>
      <c r="F67" s="54" t="s">
        <v>2106</v>
      </c>
      <c r="G67" s="53" t="s">
        <v>1713</v>
      </c>
      <c r="H67" s="95" t="s">
        <v>2107</v>
      </c>
      <c r="I67" s="84" t="s">
        <v>2108</v>
      </c>
      <c r="J67" s="60" t="s">
        <v>2156</v>
      </c>
      <c r="K67" s="55" t="s">
        <v>2157</v>
      </c>
      <c r="L67" s="55"/>
      <c r="M67" s="56" t="s">
        <v>2158</v>
      </c>
      <c r="N67" s="57" t="s">
        <v>2159</v>
      </c>
      <c r="O67" s="78" t="s">
        <v>146</v>
      </c>
      <c r="P67" s="78" t="s">
        <v>146</v>
      </c>
      <c r="Q67" s="214" t="s">
        <v>1600</v>
      </c>
      <c r="R67" s="61" t="str">
        <f>VLOOKUP(Sheet_1_Table_1_136[[#This Row],[Learning Domain]],[20]List!$A$7:$B$12,2,0)</f>
        <v>RE</v>
      </c>
      <c r="S67" s="55">
        <v>0</v>
      </c>
      <c r="T67" s="55">
        <v>0</v>
      </c>
      <c r="U67" s="55">
        <v>100</v>
      </c>
      <c r="V67" s="55">
        <v>0</v>
      </c>
      <c r="W67" s="55">
        <v>0</v>
      </c>
      <c r="X67" s="55">
        <v>0</v>
      </c>
      <c r="Y67" s="55">
        <v>0</v>
      </c>
      <c r="Z67" s="55">
        <v>0</v>
      </c>
      <c r="AA67" s="55">
        <v>0</v>
      </c>
      <c r="AB67" s="53">
        <v>100</v>
      </c>
      <c r="AC67" s="52" t="s">
        <v>199</v>
      </c>
      <c r="AD67" s="55" t="s">
        <v>190</v>
      </c>
      <c r="AE67" s="55" t="s">
        <v>142</v>
      </c>
      <c r="AF67" s="55" t="s">
        <v>146</v>
      </c>
      <c r="AG67" s="55" t="s">
        <v>142</v>
      </c>
      <c r="AH67" s="55">
        <v>1.5</v>
      </c>
      <c r="AI67" s="55">
        <v>40</v>
      </c>
      <c r="AJ67" s="62">
        <f>Sheet_1_Table_1_136[[#This Row],[ILP Units Per Session]]*Sheet_1_Table_1_136[[#This Row],[Quota]]</f>
        <v>60</v>
      </c>
      <c r="AK67" s="63">
        <v>46308</v>
      </c>
      <c r="AL67" s="64">
        <f>WEEKDAY(Sheet_1_Table_1_136[[#This Row],[Lesson 1 
Date 
(DD-MMM-YYYY)]])</f>
        <v>3</v>
      </c>
      <c r="AM67" s="65">
        <v>0.75</v>
      </c>
      <c r="AN67" s="66">
        <v>0.8125</v>
      </c>
      <c r="AO67" s="67" t="s">
        <v>2160</v>
      </c>
      <c r="AP67" s="555"/>
      <c r="AQ67" s="64">
        <f>WEEKDAY(Sheet_1_Table_1_136[[#This Row],[Lesson 2
Date 
(DD-MMM-YYYY)]])</f>
        <v>7</v>
      </c>
      <c r="AR67" s="65"/>
      <c r="AS67" s="66"/>
      <c r="AT67" s="126"/>
      <c r="AU67" s="63"/>
      <c r="AV67" s="64">
        <f>WEEKDAY(Sheet_1_Table_1_136[[#This Row],[Lesson 3
Date 
(DD-MMM-YYYY)]])</f>
        <v>7</v>
      </c>
      <c r="AW67" s="65"/>
      <c r="AX67" s="66"/>
      <c r="AY67" s="126"/>
      <c r="AZ67" s="98"/>
      <c r="BA67" s="64">
        <f>WEEKDAY(Sheet_1_Table_1_136[[#This Row],[Lesson 4
Date 
(DD-MMM-YYYY)]])</f>
        <v>7</v>
      </c>
      <c r="BB67" s="65"/>
      <c r="BC67" s="66"/>
      <c r="BD67" s="126"/>
      <c r="BE67" s="63"/>
      <c r="BF67" s="64">
        <f>WEEKDAY(Sheet_1_Table_1_136[[#This Row],[Lesson 5
Date 
(DD-MMM-YYYY)]])</f>
        <v>7</v>
      </c>
      <c r="BG67" s="65"/>
      <c r="BH67" s="66"/>
      <c r="BI67" s="126"/>
      <c r="BJ67" s="98"/>
      <c r="BK67" s="64">
        <f>WEEKDAY(Sheet_1_Table_1_136[[#This Row],[Lesson 6
Date 
(DD-MMM-YYYY)]])</f>
        <v>7</v>
      </c>
      <c r="BL67" s="65"/>
      <c r="BM67" s="66"/>
      <c r="BN67" s="99"/>
      <c r="BO67" s="54" t="s">
        <v>293</v>
      </c>
      <c r="BP67" s="69" t="s">
        <v>2161</v>
      </c>
      <c r="BQ67" s="69" t="s">
        <v>414</v>
      </c>
      <c r="BR67" s="57" t="s">
        <v>2162</v>
      </c>
      <c r="BS67" s="52"/>
      <c r="BT67" s="56"/>
      <c r="BU67" s="56"/>
      <c r="BV67" s="70"/>
      <c r="BW67" s="60"/>
      <c r="BX67" s="71"/>
      <c r="BY67" s="56" t="s">
        <v>184</v>
      </c>
      <c r="BZ67" s="56"/>
      <c r="CA67" s="56" t="s">
        <v>1751</v>
      </c>
      <c r="CB67" s="72"/>
      <c r="CC67" s="72"/>
      <c r="CD67" s="71"/>
      <c r="CE67" s="56" t="s">
        <v>2116</v>
      </c>
      <c r="CF67" s="291" t="s">
        <v>2117</v>
      </c>
      <c r="CG67" s="56"/>
      <c r="CH67" s="57"/>
      <c r="CI67" s="52" t="s">
        <v>146</v>
      </c>
      <c r="CJ67" s="52" t="s">
        <v>142</v>
      </c>
      <c r="CK67" s="52" t="s">
        <v>142</v>
      </c>
      <c r="CL67" s="52" t="s">
        <v>146</v>
      </c>
      <c r="CM67" s="52" t="s">
        <v>142</v>
      </c>
      <c r="CN67" s="52" t="s">
        <v>142</v>
      </c>
      <c r="CO67" s="52" t="s">
        <v>142</v>
      </c>
      <c r="CP67" s="52" t="s">
        <v>142</v>
      </c>
      <c r="CQ67" s="52" t="s">
        <v>142</v>
      </c>
      <c r="CR67" s="52" t="s">
        <v>142</v>
      </c>
      <c r="CS67" s="52" t="s">
        <v>142</v>
      </c>
      <c r="CT67" s="52" t="s">
        <v>142</v>
      </c>
      <c r="CU67" s="52" t="s">
        <v>142</v>
      </c>
      <c r="CV67" s="52" t="s">
        <v>142</v>
      </c>
      <c r="CW67" s="52" t="s">
        <v>142</v>
      </c>
      <c r="CX67" s="52" t="s">
        <v>142</v>
      </c>
      <c r="CY67" s="52" t="s">
        <v>142</v>
      </c>
      <c r="CZ67" s="59" t="s">
        <v>142</v>
      </c>
      <c r="DA67" s="54" t="s">
        <v>154</v>
      </c>
      <c r="DB67" s="50" t="s">
        <v>155</v>
      </c>
      <c r="DC67" s="50" t="s">
        <v>156</v>
      </c>
      <c r="DD67" s="50" t="s">
        <v>146</v>
      </c>
      <c r="DE67" s="50" t="s">
        <v>157</v>
      </c>
      <c r="DF67" s="50" t="s">
        <v>146</v>
      </c>
      <c r="DG67" s="73"/>
      <c r="DH67" s="73"/>
      <c r="DI67" s="74"/>
      <c r="DJ67" s="75"/>
      <c r="DK67" s="76" t="s">
        <v>146</v>
      </c>
      <c r="DL67" s="76" t="s">
        <v>146</v>
      </c>
      <c r="DM67" s="76" t="s">
        <v>146</v>
      </c>
      <c r="DN67" s="790"/>
    </row>
    <row r="68" spans="1:118" ht="90">
      <c r="A68" s="48">
        <v>66</v>
      </c>
      <c r="B68" s="49">
        <v>202609</v>
      </c>
      <c r="C68" s="50" t="s">
        <v>2163</v>
      </c>
      <c r="D68" s="50" t="s">
        <v>174</v>
      </c>
      <c r="E68" s="51">
        <v>5991</v>
      </c>
      <c r="F68" s="54" t="s">
        <v>2106</v>
      </c>
      <c r="G68" s="53" t="s">
        <v>1713</v>
      </c>
      <c r="H68" s="95" t="s">
        <v>2107</v>
      </c>
      <c r="I68" s="84" t="s">
        <v>2108</v>
      </c>
      <c r="J68" s="60" t="s">
        <v>2164</v>
      </c>
      <c r="K68" s="55" t="s">
        <v>2165</v>
      </c>
      <c r="L68" s="55"/>
      <c r="M68" s="56" t="s">
        <v>2166</v>
      </c>
      <c r="N68" s="57" t="s">
        <v>2167</v>
      </c>
      <c r="O68" s="58" t="s">
        <v>146</v>
      </c>
      <c r="P68" s="58" t="s">
        <v>146</v>
      </c>
      <c r="Q68" s="214" t="s">
        <v>1600</v>
      </c>
      <c r="R68" s="61" t="str">
        <f>VLOOKUP(Sheet_1_Table_1_136[[#This Row],[Learning Domain]],[20]List!$A$7:$B$12,2,0)</f>
        <v>RE</v>
      </c>
      <c r="S68" s="55">
        <v>0</v>
      </c>
      <c r="T68" s="55">
        <v>0</v>
      </c>
      <c r="U68" s="55">
        <v>0</v>
      </c>
      <c r="V68" s="55">
        <v>100</v>
      </c>
      <c r="W68" s="55">
        <v>0</v>
      </c>
      <c r="X68" s="55">
        <v>0</v>
      </c>
      <c r="Y68" s="55">
        <v>0</v>
      </c>
      <c r="Z68" s="55">
        <v>0</v>
      </c>
      <c r="AA68" s="55">
        <v>0</v>
      </c>
      <c r="AB68" s="53">
        <v>100</v>
      </c>
      <c r="AC68" s="52" t="s">
        <v>199</v>
      </c>
      <c r="AD68" s="55" t="s">
        <v>190</v>
      </c>
      <c r="AE68" s="55" t="s">
        <v>146</v>
      </c>
      <c r="AF68" s="55" t="s">
        <v>146</v>
      </c>
      <c r="AG68" s="55" t="s">
        <v>142</v>
      </c>
      <c r="AH68" s="201">
        <v>1</v>
      </c>
      <c r="AI68" s="55">
        <v>20</v>
      </c>
      <c r="AJ68" s="62">
        <f>Sheet_1_Table_1_136[[#This Row],[ILP Units Per Session]]*Sheet_1_Table_1_136[[#This Row],[Quota]]</f>
        <v>20</v>
      </c>
      <c r="AK68" s="63">
        <v>46309</v>
      </c>
      <c r="AL68" s="64">
        <f>WEEKDAY(Sheet_1_Table_1_136[[#This Row],[Lesson 1 
Date 
(DD-MMM-YYYY)]])</f>
        <v>4</v>
      </c>
      <c r="AM68" s="593">
        <v>0.83333333333333337</v>
      </c>
      <c r="AN68" s="594">
        <v>0.875</v>
      </c>
      <c r="AO68" s="67" t="s">
        <v>2112</v>
      </c>
      <c r="AP68" s="555"/>
      <c r="AQ68" s="64">
        <f>WEEKDAY(Sheet_1_Table_1_136[[#This Row],[Lesson 2
Date 
(DD-MMM-YYYY)]])</f>
        <v>7</v>
      </c>
      <c r="AR68" s="65"/>
      <c r="AS68" s="66"/>
      <c r="AT68" s="126"/>
      <c r="AU68" s="63"/>
      <c r="AV68" s="64">
        <f>WEEKDAY(Sheet_1_Table_1_136[[#This Row],[Lesson 3
Date 
(DD-MMM-YYYY)]])</f>
        <v>7</v>
      </c>
      <c r="AW68" s="65"/>
      <c r="AX68" s="66"/>
      <c r="AY68" s="126"/>
      <c r="AZ68" s="98"/>
      <c r="BA68" s="64">
        <f>WEEKDAY(Sheet_1_Table_1_136[[#This Row],[Lesson 4
Date 
(DD-MMM-YYYY)]])</f>
        <v>7</v>
      </c>
      <c r="BB68" s="65"/>
      <c r="BC68" s="66"/>
      <c r="BD68" s="126"/>
      <c r="BE68" s="63"/>
      <c r="BF68" s="64">
        <f>WEEKDAY(Sheet_1_Table_1_136[[#This Row],[Lesson 5
Date 
(DD-MMM-YYYY)]])</f>
        <v>7</v>
      </c>
      <c r="BG68" s="65"/>
      <c r="BH68" s="66"/>
      <c r="BI68" s="126"/>
      <c r="BJ68" s="98"/>
      <c r="BK68" s="64">
        <f>WEEKDAY(Sheet_1_Table_1_136[[#This Row],[Lesson 6
Date 
(DD-MMM-YYYY)]])</f>
        <v>7</v>
      </c>
      <c r="BL68" s="65"/>
      <c r="BM68" s="66"/>
      <c r="BN68" s="99"/>
      <c r="BO68" s="208" t="s">
        <v>163</v>
      </c>
      <c r="BP68" s="69" t="s">
        <v>2168</v>
      </c>
      <c r="BQ68" s="55" t="s">
        <v>1580</v>
      </c>
      <c r="BR68" s="57" t="s">
        <v>2169</v>
      </c>
      <c r="BS68" s="52"/>
      <c r="BT68" s="69"/>
      <c r="BU68" s="55"/>
      <c r="BV68" s="70"/>
      <c r="BW68" s="60"/>
      <c r="BX68" s="71"/>
      <c r="BY68" s="56" t="s">
        <v>149</v>
      </c>
      <c r="BZ68" s="56"/>
      <c r="CA68" s="56" t="s">
        <v>1751</v>
      </c>
      <c r="CB68" s="72"/>
      <c r="CC68" s="72"/>
      <c r="CD68" s="71"/>
      <c r="CE68" s="60" t="s">
        <v>2170</v>
      </c>
      <c r="CF68" s="164" t="s">
        <v>2171</v>
      </c>
      <c r="CG68" s="56" t="s">
        <v>2116</v>
      </c>
      <c r="CH68" s="291" t="s">
        <v>2117</v>
      </c>
      <c r="CI68" s="52" t="s">
        <v>146</v>
      </c>
      <c r="CJ68" s="52" t="s">
        <v>142</v>
      </c>
      <c r="CK68" s="52" t="s">
        <v>142</v>
      </c>
      <c r="CL68" s="52" t="s">
        <v>146</v>
      </c>
      <c r="CM68" s="52" t="s">
        <v>142</v>
      </c>
      <c r="CN68" s="52" t="s">
        <v>142</v>
      </c>
      <c r="CO68" s="52" t="s">
        <v>142</v>
      </c>
      <c r="CP68" s="52" t="s">
        <v>142</v>
      </c>
      <c r="CQ68" s="52" t="s">
        <v>142</v>
      </c>
      <c r="CR68" s="52" t="s">
        <v>142</v>
      </c>
      <c r="CS68" s="52" t="s">
        <v>142</v>
      </c>
      <c r="CT68" s="52" t="s">
        <v>142</v>
      </c>
      <c r="CU68" s="52" t="s">
        <v>142</v>
      </c>
      <c r="CV68" s="52" t="s">
        <v>142</v>
      </c>
      <c r="CW68" s="52" t="s">
        <v>142</v>
      </c>
      <c r="CX68" s="52" t="s">
        <v>142</v>
      </c>
      <c r="CY68" s="52" t="s">
        <v>142</v>
      </c>
      <c r="CZ68" s="59" t="s">
        <v>142</v>
      </c>
      <c r="DA68" s="54" t="s">
        <v>154</v>
      </c>
      <c r="DB68" s="50" t="s">
        <v>155</v>
      </c>
      <c r="DC68" s="50" t="s">
        <v>156</v>
      </c>
      <c r="DD68" s="50" t="s">
        <v>146</v>
      </c>
      <c r="DE68" s="50" t="s">
        <v>157</v>
      </c>
      <c r="DF68" s="50" t="s">
        <v>146</v>
      </c>
      <c r="DG68" s="73"/>
      <c r="DH68" s="73"/>
      <c r="DI68" s="74"/>
      <c r="DJ68" s="75"/>
      <c r="DK68" s="76" t="s">
        <v>146</v>
      </c>
      <c r="DL68" s="76" t="s">
        <v>146</v>
      </c>
      <c r="DM68" s="76" t="s">
        <v>146</v>
      </c>
      <c r="DN68" s="790"/>
    </row>
    <row r="69" spans="1:118" ht="105">
      <c r="A69" s="48">
        <v>67</v>
      </c>
      <c r="B69" s="49">
        <v>202609</v>
      </c>
      <c r="C69" s="50" t="s">
        <v>2172</v>
      </c>
      <c r="D69" s="50" t="s">
        <v>174</v>
      </c>
      <c r="E69" s="51">
        <v>5992</v>
      </c>
      <c r="F69" s="54" t="s">
        <v>2106</v>
      </c>
      <c r="G69" s="53" t="s">
        <v>1713</v>
      </c>
      <c r="H69" s="95" t="s">
        <v>2107</v>
      </c>
      <c r="I69" s="84" t="s">
        <v>2108</v>
      </c>
      <c r="J69" s="60" t="s">
        <v>2173</v>
      </c>
      <c r="K69" s="55" t="s">
        <v>2174</v>
      </c>
      <c r="L69" s="55"/>
      <c r="M69" s="56" t="s">
        <v>2175</v>
      </c>
      <c r="N69" s="57" t="s">
        <v>2176</v>
      </c>
      <c r="O69" s="78" t="s">
        <v>146</v>
      </c>
      <c r="P69" s="78" t="s">
        <v>146</v>
      </c>
      <c r="Q69" s="214" t="s">
        <v>1600</v>
      </c>
      <c r="R69" s="61" t="str">
        <f>VLOOKUP(Sheet_1_Table_1_136[[#This Row],[Learning Domain]],[20]List!$A$7:$B$12,2,0)</f>
        <v>RE</v>
      </c>
      <c r="S69" s="55">
        <v>0</v>
      </c>
      <c r="T69" s="55">
        <v>0</v>
      </c>
      <c r="U69" s="55">
        <v>0</v>
      </c>
      <c r="V69" s="55">
        <v>0</v>
      </c>
      <c r="W69" s="55">
        <v>80</v>
      </c>
      <c r="X69" s="55">
        <v>20</v>
      </c>
      <c r="Y69" s="55">
        <v>0</v>
      </c>
      <c r="Z69" s="55">
        <v>0</v>
      </c>
      <c r="AA69" s="55">
        <v>0</v>
      </c>
      <c r="AB69" s="53">
        <v>100</v>
      </c>
      <c r="AC69" s="52" t="s">
        <v>144</v>
      </c>
      <c r="AD69" s="55" t="s">
        <v>190</v>
      </c>
      <c r="AE69" s="55" t="s">
        <v>142</v>
      </c>
      <c r="AF69" s="55" t="s">
        <v>146</v>
      </c>
      <c r="AG69" s="55" t="s">
        <v>142</v>
      </c>
      <c r="AH69" s="55">
        <v>1</v>
      </c>
      <c r="AI69" s="55">
        <v>40</v>
      </c>
      <c r="AJ69" s="62">
        <f>Sheet_1_Table_1_136[[#This Row],[ILP Units Per Session]]*Sheet_1_Table_1_136[[#This Row],[Quota]]</f>
        <v>40</v>
      </c>
      <c r="AK69" s="63">
        <v>46316</v>
      </c>
      <c r="AL69" s="64">
        <f>WEEKDAY(Sheet_1_Table_1_136[[#This Row],[Lesson 1 
Date 
(DD-MMM-YYYY)]])</f>
        <v>4</v>
      </c>
      <c r="AM69" s="65">
        <v>0.8125</v>
      </c>
      <c r="AN69" s="66">
        <v>0.85416666666666663</v>
      </c>
      <c r="AO69" s="67" t="s">
        <v>2160</v>
      </c>
      <c r="AP69" s="555"/>
      <c r="AQ69" s="64">
        <f>WEEKDAY(Sheet_1_Table_1_136[[#This Row],[Lesson 2
Date 
(DD-MMM-YYYY)]])</f>
        <v>7</v>
      </c>
      <c r="AR69" s="65"/>
      <c r="AS69" s="66"/>
      <c r="AT69" s="126"/>
      <c r="AU69" s="63"/>
      <c r="AV69" s="64">
        <f>WEEKDAY(Sheet_1_Table_1_136[[#This Row],[Lesson 3
Date 
(DD-MMM-YYYY)]])</f>
        <v>7</v>
      </c>
      <c r="AW69" s="65"/>
      <c r="AX69" s="66"/>
      <c r="AY69" s="126"/>
      <c r="AZ69" s="98"/>
      <c r="BA69" s="64">
        <f>WEEKDAY(Sheet_1_Table_1_136[[#This Row],[Lesson 4
Date 
(DD-MMM-YYYY)]])</f>
        <v>7</v>
      </c>
      <c r="BB69" s="65"/>
      <c r="BC69" s="66"/>
      <c r="BD69" s="126"/>
      <c r="BE69" s="63"/>
      <c r="BF69" s="64">
        <f>WEEKDAY(Sheet_1_Table_1_136[[#This Row],[Lesson 5
Date 
(DD-MMM-YYYY)]])</f>
        <v>7</v>
      </c>
      <c r="BG69" s="65"/>
      <c r="BH69" s="66"/>
      <c r="BI69" s="126"/>
      <c r="BJ69" s="98"/>
      <c r="BK69" s="64">
        <f>WEEKDAY(Sheet_1_Table_1_136[[#This Row],[Lesson 6
Date 
(DD-MMM-YYYY)]])</f>
        <v>7</v>
      </c>
      <c r="BL69" s="65"/>
      <c r="BM69" s="66"/>
      <c r="BN69" s="99"/>
      <c r="BO69" s="54" t="s">
        <v>293</v>
      </c>
      <c r="BP69" s="69" t="s">
        <v>2177</v>
      </c>
      <c r="BQ69" s="55" t="s">
        <v>2178</v>
      </c>
      <c r="BR69" s="57" t="s">
        <v>2179</v>
      </c>
      <c r="BS69" s="52"/>
      <c r="BT69" s="69"/>
      <c r="BU69" s="55"/>
      <c r="BV69" s="70"/>
      <c r="BW69" s="60"/>
      <c r="BX69" s="71"/>
      <c r="BY69" s="56" t="s">
        <v>149</v>
      </c>
      <c r="BZ69" s="56"/>
      <c r="CA69" s="56" t="s">
        <v>1751</v>
      </c>
      <c r="CB69" s="72"/>
      <c r="CC69" s="72"/>
      <c r="CD69" s="71"/>
      <c r="CE69" s="60" t="s">
        <v>2180</v>
      </c>
      <c r="CF69" s="164" t="s">
        <v>2181</v>
      </c>
      <c r="CG69" s="56" t="s">
        <v>2116</v>
      </c>
      <c r="CH69" s="291" t="s">
        <v>2117</v>
      </c>
      <c r="CI69" s="52" t="s">
        <v>146</v>
      </c>
      <c r="CJ69" s="52" t="s">
        <v>142</v>
      </c>
      <c r="CK69" s="52" t="s">
        <v>142</v>
      </c>
      <c r="CL69" s="52" t="s">
        <v>142</v>
      </c>
      <c r="CM69" s="52" t="s">
        <v>142</v>
      </c>
      <c r="CN69" s="52" t="s">
        <v>142</v>
      </c>
      <c r="CO69" s="52" t="s">
        <v>142</v>
      </c>
      <c r="CP69" s="52" t="s">
        <v>142</v>
      </c>
      <c r="CQ69" s="52" t="s">
        <v>142</v>
      </c>
      <c r="CR69" s="52" t="s">
        <v>142</v>
      </c>
      <c r="CS69" s="52" t="s">
        <v>142</v>
      </c>
      <c r="CT69" s="52" t="s">
        <v>146</v>
      </c>
      <c r="CU69" s="52" t="s">
        <v>142</v>
      </c>
      <c r="CV69" s="52" t="s">
        <v>142</v>
      </c>
      <c r="CW69" s="52" t="s">
        <v>142</v>
      </c>
      <c r="CX69" s="52" t="s">
        <v>142</v>
      </c>
      <c r="CY69" s="52" t="s">
        <v>142</v>
      </c>
      <c r="CZ69" s="59" t="s">
        <v>142</v>
      </c>
      <c r="DA69" s="54" t="s">
        <v>154</v>
      </c>
      <c r="DB69" s="50" t="s">
        <v>155</v>
      </c>
      <c r="DC69" s="50" t="s">
        <v>156</v>
      </c>
      <c r="DD69" s="50" t="s">
        <v>146</v>
      </c>
      <c r="DE69" s="50" t="s">
        <v>157</v>
      </c>
      <c r="DF69" s="50" t="s">
        <v>146</v>
      </c>
      <c r="DG69" s="73"/>
      <c r="DH69" s="73"/>
      <c r="DI69" s="74"/>
      <c r="DJ69" s="75"/>
      <c r="DK69" s="76" t="s">
        <v>146</v>
      </c>
      <c r="DL69" s="76" t="s">
        <v>146</v>
      </c>
      <c r="DM69" s="76" t="s">
        <v>146</v>
      </c>
      <c r="DN69" s="790"/>
    </row>
    <row r="70" spans="1:118" ht="90">
      <c r="A70" s="48">
        <v>68</v>
      </c>
      <c r="B70" s="49">
        <v>202609</v>
      </c>
      <c r="C70" s="50" t="s">
        <v>2182</v>
      </c>
      <c r="D70" s="50" t="s">
        <v>205</v>
      </c>
      <c r="E70" s="51">
        <v>5993</v>
      </c>
      <c r="F70" s="54" t="s">
        <v>2106</v>
      </c>
      <c r="G70" s="53" t="s">
        <v>1713</v>
      </c>
      <c r="H70" s="95" t="s">
        <v>2107</v>
      </c>
      <c r="I70" s="84" t="s">
        <v>2108</v>
      </c>
      <c r="J70" s="60" t="s">
        <v>2183</v>
      </c>
      <c r="K70" s="55" t="s">
        <v>2184</v>
      </c>
      <c r="L70" s="55"/>
      <c r="M70" s="56" t="s">
        <v>2185</v>
      </c>
      <c r="N70" s="57" t="s">
        <v>2186</v>
      </c>
      <c r="O70" s="78" t="s">
        <v>146</v>
      </c>
      <c r="P70" s="78" t="s">
        <v>146</v>
      </c>
      <c r="Q70" s="214" t="s">
        <v>1600</v>
      </c>
      <c r="R70" s="61" t="str">
        <f>VLOOKUP(Sheet_1_Table_1_136[[#This Row],[Learning Domain]],[20]List!$A$7:$B$12,2,0)</f>
        <v>RE</v>
      </c>
      <c r="S70" s="55">
        <v>0</v>
      </c>
      <c r="T70" s="55">
        <v>0</v>
      </c>
      <c r="U70" s="55">
        <v>60</v>
      </c>
      <c r="V70" s="55">
        <v>40</v>
      </c>
      <c r="W70" s="55">
        <v>0</v>
      </c>
      <c r="X70" s="55">
        <v>0</v>
      </c>
      <c r="Y70" s="55">
        <v>0</v>
      </c>
      <c r="Z70" s="55">
        <v>0</v>
      </c>
      <c r="AA70" s="55">
        <v>0</v>
      </c>
      <c r="AB70" s="53">
        <v>100</v>
      </c>
      <c r="AC70" s="52" t="s">
        <v>199</v>
      </c>
      <c r="AD70" s="55" t="s">
        <v>190</v>
      </c>
      <c r="AE70" s="55" t="s">
        <v>142</v>
      </c>
      <c r="AF70" s="55" t="s">
        <v>146</v>
      </c>
      <c r="AG70" s="55" t="s">
        <v>142</v>
      </c>
      <c r="AH70" s="55">
        <v>1</v>
      </c>
      <c r="AI70" s="55">
        <v>10</v>
      </c>
      <c r="AJ70" s="62">
        <f>Sheet_1_Table_1_136[[#This Row],[ILP Units Per Session]]*Sheet_1_Table_1_136[[#This Row],[Quota]]</f>
        <v>10</v>
      </c>
      <c r="AK70" s="63">
        <v>46346</v>
      </c>
      <c r="AL70" s="64">
        <f>WEEKDAY(Sheet_1_Table_1_136[[#This Row],[Lesson 1 
Date 
(DD-MMM-YYYY)]])</f>
        <v>6</v>
      </c>
      <c r="AM70" s="65">
        <v>0.77083333333333337</v>
      </c>
      <c r="AN70" s="66">
        <v>0.8125</v>
      </c>
      <c r="AO70" s="67" t="s">
        <v>2112</v>
      </c>
      <c r="AP70" s="555"/>
      <c r="AQ70" s="64">
        <f>WEEKDAY(Sheet_1_Table_1_136[[#This Row],[Lesson 2
Date 
(DD-MMM-YYYY)]])</f>
        <v>7</v>
      </c>
      <c r="AR70" s="65"/>
      <c r="AS70" s="66"/>
      <c r="AT70" s="126"/>
      <c r="AU70" s="63"/>
      <c r="AV70" s="64">
        <f>WEEKDAY(Sheet_1_Table_1_136[[#This Row],[Lesson 3
Date 
(DD-MMM-YYYY)]])</f>
        <v>7</v>
      </c>
      <c r="AW70" s="65"/>
      <c r="AX70" s="66"/>
      <c r="AY70" s="126"/>
      <c r="AZ70" s="98"/>
      <c r="BA70" s="64">
        <f>WEEKDAY(Sheet_1_Table_1_136[[#This Row],[Lesson 4
Date 
(DD-MMM-YYYY)]])</f>
        <v>7</v>
      </c>
      <c r="BB70" s="65"/>
      <c r="BC70" s="66"/>
      <c r="BD70" s="126"/>
      <c r="BE70" s="63"/>
      <c r="BF70" s="64">
        <f>WEEKDAY(Sheet_1_Table_1_136[[#This Row],[Lesson 5
Date 
(DD-MMM-YYYY)]])</f>
        <v>7</v>
      </c>
      <c r="BG70" s="65"/>
      <c r="BH70" s="66"/>
      <c r="BI70" s="126"/>
      <c r="BJ70" s="98"/>
      <c r="BK70" s="64">
        <f>WEEKDAY(Sheet_1_Table_1_136[[#This Row],[Lesson 6
Date 
(DD-MMM-YYYY)]])</f>
        <v>7</v>
      </c>
      <c r="BL70" s="65"/>
      <c r="BM70" s="66"/>
      <c r="BN70" s="99"/>
      <c r="BO70" s="54" t="s">
        <v>293</v>
      </c>
      <c r="BP70" s="69" t="s">
        <v>2187</v>
      </c>
      <c r="BQ70" s="69" t="s">
        <v>422</v>
      </c>
      <c r="BR70" s="57" t="s">
        <v>2188</v>
      </c>
      <c r="BS70" s="52"/>
      <c r="BT70" s="56"/>
      <c r="BU70" s="56"/>
      <c r="BV70" s="70"/>
      <c r="BW70" s="60"/>
      <c r="BX70" s="71"/>
      <c r="BY70" s="56" t="s">
        <v>149</v>
      </c>
      <c r="BZ70" s="56"/>
      <c r="CA70" s="56" t="s">
        <v>1751</v>
      </c>
      <c r="CB70" s="72"/>
      <c r="CC70" s="72"/>
      <c r="CD70" s="71"/>
      <c r="CE70" s="60" t="s">
        <v>2189</v>
      </c>
      <c r="CF70" s="164" t="s">
        <v>2190</v>
      </c>
      <c r="CG70" s="56" t="s">
        <v>2116</v>
      </c>
      <c r="CH70" s="291" t="s">
        <v>2117</v>
      </c>
      <c r="CI70" s="52" t="s">
        <v>146</v>
      </c>
      <c r="CJ70" s="52" t="s">
        <v>142</v>
      </c>
      <c r="CK70" s="52" t="s">
        <v>142</v>
      </c>
      <c r="CL70" s="52" t="s">
        <v>146</v>
      </c>
      <c r="CM70" s="52" t="s">
        <v>142</v>
      </c>
      <c r="CN70" s="52" t="s">
        <v>142</v>
      </c>
      <c r="CO70" s="52" t="s">
        <v>142</v>
      </c>
      <c r="CP70" s="52" t="s">
        <v>142</v>
      </c>
      <c r="CQ70" s="52" t="s">
        <v>142</v>
      </c>
      <c r="CR70" s="52" t="s">
        <v>142</v>
      </c>
      <c r="CS70" s="52" t="s">
        <v>142</v>
      </c>
      <c r="CT70" s="52" t="s">
        <v>142</v>
      </c>
      <c r="CU70" s="52" t="s">
        <v>142</v>
      </c>
      <c r="CV70" s="52" t="s">
        <v>142</v>
      </c>
      <c r="CW70" s="52" t="s">
        <v>142</v>
      </c>
      <c r="CX70" s="52" t="s">
        <v>142</v>
      </c>
      <c r="CY70" s="52" t="s">
        <v>142</v>
      </c>
      <c r="CZ70" s="59" t="s">
        <v>142</v>
      </c>
      <c r="DA70" s="54" t="s">
        <v>154</v>
      </c>
      <c r="DB70" s="50" t="s">
        <v>155</v>
      </c>
      <c r="DC70" s="50" t="s">
        <v>156</v>
      </c>
      <c r="DD70" s="50" t="s">
        <v>146</v>
      </c>
      <c r="DE70" s="50" t="s">
        <v>157</v>
      </c>
      <c r="DF70" s="50" t="s">
        <v>146</v>
      </c>
      <c r="DG70" s="73"/>
      <c r="DH70" s="73"/>
      <c r="DI70" s="74"/>
      <c r="DJ70" s="75"/>
      <c r="DK70" s="76" t="s">
        <v>146</v>
      </c>
      <c r="DL70" s="76" t="s">
        <v>146</v>
      </c>
      <c r="DM70" s="76" t="s">
        <v>146</v>
      </c>
      <c r="DN70" s="790"/>
    </row>
    <row r="71" spans="1:118" ht="105">
      <c r="A71" s="48">
        <v>69</v>
      </c>
      <c r="B71" s="49">
        <v>202609</v>
      </c>
      <c r="C71" s="50" t="s">
        <v>2191</v>
      </c>
      <c r="D71" s="50" t="s">
        <v>251</v>
      </c>
      <c r="E71" s="51">
        <v>5983</v>
      </c>
      <c r="F71" s="54" t="s">
        <v>2192</v>
      </c>
      <c r="G71" s="53" t="s">
        <v>1713</v>
      </c>
      <c r="H71" s="95" t="s">
        <v>2193</v>
      </c>
      <c r="I71" s="84" t="s">
        <v>2194</v>
      </c>
      <c r="J71" s="60" t="s">
        <v>2195</v>
      </c>
      <c r="K71" s="55" t="s">
        <v>2196</v>
      </c>
      <c r="L71" s="55"/>
      <c r="M71" s="56" t="s">
        <v>2231</v>
      </c>
      <c r="N71" s="57" t="s">
        <v>2197</v>
      </c>
      <c r="O71" s="58" t="s">
        <v>146</v>
      </c>
      <c r="P71" s="58" t="s">
        <v>146</v>
      </c>
      <c r="Q71" s="214" t="s">
        <v>1600</v>
      </c>
      <c r="R71" s="61" t="str">
        <f>VLOOKUP(Sheet_1_Table_1_136[[#This Row],[Learning Domain]],[20]List!$A$7:$B$12,2,0)</f>
        <v>RE</v>
      </c>
      <c r="S71" s="55">
        <v>0</v>
      </c>
      <c r="T71" s="55">
        <v>10</v>
      </c>
      <c r="U71" s="55">
        <v>20</v>
      </c>
      <c r="V71" s="55">
        <v>30</v>
      </c>
      <c r="W71" s="55">
        <v>0</v>
      </c>
      <c r="X71" s="55">
        <v>0</v>
      </c>
      <c r="Y71" s="55">
        <v>40</v>
      </c>
      <c r="Z71" s="55">
        <v>0</v>
      </c>
      <c r="AA71" s="55">
        <v>0</v>
      </c>
      <c r="AB71" s="53">
        <v>100</v>
      </c>
      <c r="AC71" s="52" t="s">
        <v>199</v>
      </c>
      <c r="AD71" s="55" t="s">
        <v>190</v>
      </c>
      <c r="AE71" s="55" t="s">
        <v>146</v>
      </c>
      <c r="AF71" s="55" t="s">
        <v>146</v>
      </c>
      <c r="AG71" s="55" t="s">
        <v>146</v>
      </c>
      <c r="AH71" s="55">
        <v>1.5</v>
      </c>
      <c r="AI71" s="55">
        <v>15</v>
      </c>
      <c r="AJ71" s="62">
        <f>Sheet_1_Table_1_136[[#This Row],[ILP Units Per Session]]*Sheet_1_Table_1_136[[#This Row],[Quota]]</f>
        <v>22.5</v>
      </c>
      <c r="AK71" s="63">
        <v>46289</v>
      </c>
      <c r="AL71" s="64">
        <f>WEEKDAY(Sheet_1_Table_1_136[[#This Row],[Lesson 1 
Date 
(DD-MMM-YYYY)]])</f>
        <v>5</v>
      </c>
      <c r="AM71" s="65">
        <v>0.79166666666666663</v>
      </c>
      <c r="AN71" s="66">
        <v>0.85416666666666663</v>
      </c>
      <c r="AO71" s="67" t="s">
        <v>2198</v>
      </c>
      <c r="AP71" s="555"/>
      <c r="AQ71" s="64">
        <f>WEEKDAY(Sheet_1_Table_1_136[[#This Row],[Lesson 2
Date 
(DD-MMM-YYYY)]])</f>
        <v>7</v>
      </c>
      <c r="AR71" s="65"/>
      <c r="AS71" s="66"/>
      <c r="AT71" s="126"/>
      <c r="AU71" s="63"/>
      <c r="AV71" s="64">
        <f>WEEKDAY(Sheet_1_Table_1_136[[#This Row],[Lesson 3
Date 
(DD-MMM-YYYY)]])</f>
        <v>7</v>
      </c>
      <c r="AW71" s="65"/>
      <c r="AX71" s="66"/>
      <c r="AY71" s="126"/>
      <c r="AZ71" s="98"/>
      <c r="BA71" s="64">
        <f>WEEKDAY(Sheet_1_Table_1_136[[#This Row],[Lesson 4
Date 
(DD-MMM-YYYY)]])</f>
        <v>7</v>
      </c>
      <c r="BB71" s="65"/>
      <c r="BC71" s="66"/>
      <c r="BD71" s="126"/>
      <c r="BE71" s="63"/>
      <c r="BF71" s="64">
        <f>WEEKDAY(Sheet_1_Table_1_136[[#This Row],[Lesson 5
Date 
(DD-MMM-YYYY)]])</f>
        <v>7</v>
      </c>
      <c r="BG71" s="65"/>
      <c r="BH71" s="66"/>
      <c r="BI71" s="126"/>
      <c r="BJ71" s="98"/>
      <c r="BK71" s="64">
        <f>WEEKDAY(Sheet_1_Table_1_136[[#This Row],[Lesson 6
Date 
(DD-MMM-YYYY)]])</f>
        <v>7</v>
      </c>
      <c r="BL71" s="65"/>
      <c r="BM71" s="66"/>
      <c r="BN71" s="99"/>
      <c r="BO71" s="54" t="s">
        <v>163</v>
      </c>
      <c r="BP71" s="69" t="s">
        <v>2199</v>
      </c>
      <c r="BQ71" s="55" t="s">
        <v>2200</v>
      </c>
      <c r="BR71" s="57" t="s">
        <v>2201</v>
      </c>
      <c r="BS71" s="52"/>
      <c r="BT71" s="56"/>
      <c r="BU71" s="56"/>
      <c r="BV71" s="70"/>
      <c r="BW71" s="60"/>
      <c r="BX71" s="71"/>
      <c r="BY71" s="56" t="s">
        <v>184</v>
      </c>
      <c r="BZ71" s="56"/>
      <c r="CA71" s="55" t="s">
        <v>1735</v>
      </c>
      <c r="CB71" s="72"/>
      <c r="CC71" s="72"/>
      <c r="CD71" s="71"/>
      <c r="CE71" s="60" t="s">
        <v>2202</v>
      </c>
      <c r="CF71" s="164" t="s">
        <v>2203</v>
      </c>
      <c r="CG71" s="56"/>
      <c r="CH71" s="57"/>
      <c r="CI71" s="52" t="s">
        <v>146</v>
      </c>
      <c r="CJ71" s="52" t="s">
        <v>142</v>
      </c>
      <c r="CK71" s="52" t="s">
        <v>142</v>
      </c>
      <c r="CL71" s="52" t="s">
        <v>146</v>
      </c>
      <c r="CM71" s="52" t="s">
        <v>146</v>
      </c>
      <c r="CN71" s="52" t="s">
        <v>142</v>
      </c>
      <c r="CO71" s="52" t="s">
        <v>142</v>
      </c>
      <c r="CP71" s="52" t="s">
        <v>146</v>
      </c>
      <c r="CQ71" s="52" t="s">
        <v>142</v>
      </c>
      <c r="CR71" s="52" t="s">
        <v>142</v>
      </c>
      <c r="CS71" s="52" t="s">
        <v>142</v>
      </c>
      <c r="CT71" s="52" t="s">
        <v>146</v>
      </c>
      <c r="CU71" s="52" t="s">
        <v>142</v>
      </c>
      <c r="CV71" s="52" t="s">
        <v>142</v>
      </c>
      <c r="CW71" s="52" t="s">
        <v>142</v>
      </c>
      <c r="CX71" s="52" t="s">
        <v>146</v>
      </c>
      <c r="CY71" s="52" t="s">
        <v>142</v>
      </c>
      <c r="CZ71" s="59" t="s">
        <v>146</v>
      </c>
      <c r="DA71" s="54"/>
      <c r="DB71" s="50"/>
      <c r="DC71" s="50"/>
      <c r="DD71" s="50"/>
      <c r="DE71" s="50"/>
      <c r="DF71" s="50"/>
      <c r="DG71" s="73"/>
      <c r="DH71" s="73"/>
      <c r="DI71" s="73"/>
      <c r="DJ71" s="73"/>
      <c r="DK71" s="76" t="s">
        <v>146</v>
      </c>
      <c r="DL71" s="76" t="s">
        <v>146</v>
      </c>
      <c r="DM71" s="76" t="s">
        <v>146</v>
      </c>
      <c r="DN71" s="790" t="s">
        <v>2237</v>
      </c>
    </row>
    <row r="72" spans="1:118" ht="150">
      <c r="A72" s="48">
        <v>70</v>
      </c>
      <c r="B72" s="49">
        <v>202609</v>
      </c>
      <c r="C72" s="50" t="s">
        <v>2182</v>
      </c>
      <c r="D72" s="50" t="s">
        <v>251</v>
      </c>
      <c r="E72" s="51">
        <v>5984</v>
      </c>
      <c r="F72" s="54" t="s">
        <v>2192</v>
      </c>
      <c r="G72" s="53" t="s">
        <v>1713</v>
      </c>
      <c r="H72" s="95" t="s">
        <v>2193</v>
      </c>
      <c r="I72" s="84" t="s">
        <v>2194</v>
      </c>
      <c r="J72" s="60" t="s">
        <v>2204</v>
      </c>
      <c r="K72" s="55" t="s">
        <v>2205</v>
      </c>
      <c r="L72" s="55"/>
      <c r="M72" s="56" t="s">
        <v>2225</v>
      </c>
      <c r="N72" s="57" t="s">
        <v>2226</v>
      </c>
      <c r="O72" s="58" t="s">
        <v>146</v>
      </c>
      <c r="P72" s="58" t="s">
        <v>146</v>
      </c>
      <c r="Q72" s="214" t="s">
        <v>1600</v>
      </c>
      <c r="R72" s="61" t="str">
        <f>VLOOKUP(Sheet_1_Table_1_136[[#This Row],[Learning Domain]],[20]List!$A$7:$B$12,2,0)</f>
        <v>RE</v>
      </c>
      <c r="S72" s="55">
        <v>20</v>
      </c>
      <c r="T72" s="55">
        <v>20</v>
      </c>
      <c r="U72" s="55">
        <v>30</v>
      </c>
      <c r="V72" s="55">
        <v>20</v>
      </c>
      <c r="W72" s="55">
        <v>0</v>
      </c>
      <c r="X72" s="55">
        <v>0</v>
      </c>
      <c r="Y72" s="55">
        <v>10</v>
      </c>
      <c r="Z72" s="55">
        <v>0</v>
      </c>
      <c r="AA72" s="55">
        <v>0</v>
      </c>
      <c r="AB72" s="53">
        <v>100</v>
      </c>
      <c r="AC72" s="52" t="s">
        <v>144</v>
      </c>
      <c r="AD72" s="201" t="s">
        <v>386</v>
      </c>
      <c r="AE72" s="201" t="s">
        <v>142</v>
      </c>
      <c r="AF72" s="201" t="s">
        <v>146</v>
      </c>
      <c r="AG72" s="201" t="s">
        <v>142</v>
      </c>
      <c r="AH72" s="55">
        <v>1</v>
      </c>
      <c r="AI72" s="55">
        <v>280</v>
      </c>
      <c r="AJ72" s="62">
        <f>Sheet_1_Table_1_136[[#This Row],[ILP Units Per Session]]*Sheet_1_Table_1_136[[#This Row],[Quota]]</f>
        <v>280</v>
      </c>
      <c r="AK72" s="203">
        <v>46293</v>
      </c>
      <c r="AL72" s="64">
        <f>WEEKDAY(Sheet_1_Table_1_136[[#This Row],[Lesson 1 
Date 
(DD-MMM-YYYY)]])</f>
        <v>2</v>
      </c>
      <c r="AM72" s="204">
        <v>0.84375</v>
      </c>
      <c r="AN72" s="205">
        <v>0.88541666666666663</v>
      </c>
      <c r="AO72" s="207" t="s">
        <v>182</v>
      </c>
      <c r="AP72" s="555"/>
      <c r="AQ72" s="64">
        <f>WEEKDAY(Sheet_1_Table_1_136[[#This Row],[Lesson 2
Date 
(DD-MMM-YYYY)]])</f>
        <v>7</v>
      </c>
      <c r="AR72" s="65"/>
      <c r="AS72" s="66"/>
      <c r="AT72" s="126"/>
      <c r="AU72" s="63"/>
      <c r="AV72" s="64">
        <f>WEEKDAY(Sheet_1_Table_1_136[[#This Row],[Lesson 3
Date 
(DD-MMM-YYYY)]])</f>
        <v>7</v>
      </c>
      <c r="AW72" s="65"/>
      <c r="AX72" s="66"/>
      <c r="AY72" s="126"/>
      <c r="AZ72" s="98"/>
      <c r="BA72" s="64">
        <f>WEEKDAY(Sheet_1_Table_1_136[[#This Row],[Lesson 4
Date 
(DD-MMM-YYYY)]])</f>
        <v>7</v>
      </c>
      <c r="BB72" s="65"/>
      <c r="BC72" s="66"/>
      <c r="BD72" s="126"/>
      <c r="BE72" s="63"/>
      <c r="BF72" s="64">
        <f>WEEKDAY(Sheet_1_Table_1_136[[#This Row],[Lesson 5
Date 
(DD-MMM-YYYY)]])</f>
        <v>7</v>
      </c>
      <c r="BG72" s="65"/>
      <c r="BH72" s="66"/>
      <c r="BI72" s="126"/>
      <c r="BJ72" s="98"/>
      <c r="BK72" s="64">
        <f>WEEKDAY(Sheet_1_Table_1_136[[#This Row],[Lesson 6
Date 
(DD-MMM-YYYY)]])</f>
        <v>7</v>
      </c>
      <c r="BL72" s="65"/>
      <c r="BM72" s="66"/>
      <c r="BN72" s="99"/>
      <c r="BO72" s="208" t="s">
        <v>293</v>
      </c>
      <c r="BP72" s="209" t="s">
        <v>2206</v>
      </c>
      <c r="BQ72" s="201" t="s">
        <v>402</v>
      </c>
      <c r="BR72" s="211" t="s">
        <v>2207</v>
      </c>
      <c r="BS72" s="52"/>
      <c r="BT72" s="210"/>
      <c r="BU72" s="210"/>
      <c r="BV72" s="70"/>
      <c r="BW72" s="60"/>
      <c r="BX72" s="71"/>
      <c r="BY72" s="210"/>
      <c r="BZ72" s="210"/>
      <c r="CA72" s="55" t="s">
        <v>1811</v>
      </c>
      <c r="CB72" s="212"/>
      <c r="CC72" s="212"/>
      <c r="CD72" s="213"/>
      <c r="CE72" s="214" t="s">
        <v>2208</v>
      </c>
      <c r="CF72" s="464" t="s">
        <v>2209</v>
      </c>
      <c r="CG72" s="56"/>
      <c r="CH72" s="57"/>
      <c r="CI72" s="215" t="s">
        <v>146</v>
      </c>
      <c r="CJ72" s="52" t="s">
        <v>146</v>
      </c>
      <c r="CK72" s="52" t="s">
        <v>142</v>
      </c>
      <c r="CL72" s="52" t="s">
        <v>146</v>
      </c>
      <c r="CM72" s="52" t="s">
        <v>146</v>
      </c>
      <c r="CN72" s="52" t="s">
        <v>146</v>
      </c>
      <c r="CO72" s="52" t="s">
        <v>142</v>
      </c>
      <c r="CP72" s="52" t="s">
        <v>146</v>
      </c>
      <c r="CQ72" s="52" t="s">
        <v>142</v>
      </c>
      <c r="CR72" s="52" t="s">
        <v>142</v>
      </c>
      <c r="CS72" s="52" t="s">
        <v>146</v>
      </c>
      <c r="CT72" s="52" t="s">
        <v>146</v>
      </c>
      <c r="CU72" s="52" t="s">
        <v>142</v>
      </c>
      <c r="CV72" s="52" t="s">
        <v>142</v>
      </c>
      <c r="CW72" s="52" t="s">
        <v>142</v>
      </c>
      <c r="CX72" s="52" t="s">
        <v>142</v>
      </c>
      <c r="CY72" s="52" t="s">
        <v>142</v>
      </c>
      <c r="CZ72" s="59" t="s">
        <v>142</v>
      </c>
      <c r="DA72" s="54"/>
      <c r="DB72" s="50"/>
      <c r="DC72" s="50"/>
      <c r="DD72" s="50"/>
      <c r="DE72" s="50"/>
      <c r="DF72" s="50"/>
      <c r="DG72" s="73"/>
      <c r="DH72" s="73"/>
      <c r="DI72" s="73"/>
      <c r="DJ72" s="73"/>
      <c r="DK72" s="76" t="s">
        <v>146</v>
      </c>
      <c r="DL72" s="76" t="s">
        <v>146</v>
      </c>
      <c r="DM72" s="76" t="s">
        <v>146</v>
      </c>
      <c r="DN72" s="790" t="s">
        <v>2237</v>
      </c>
    </row>
    <row r="73" spans="1:118" ht="120">
      <c r="A73" s="48">
        <v>71</v>
      </c>
      <c r="B73" s="49">
        <v>202609</v>
      </c>
      <c r="C73" s="50" t="s">
        <v>2210</v>
      </c>
      <c r="D73" s="50" t="s">
        <v>174</v>
      </c>
      <c r="E73" s="51">
        <v>5985</v>
      </c>
      <c r="F73" s="54" t="s">
        <v>2192</v>
      </c>
      <c r="G73" s="53" t="s">
        <v>1713</v>
      </c>
      <c r="H73" s="95" t="s">
        <v>2193</v>
      </c>
      <c r="I73" s="84" t="s">
        <v>2194</v>
      </c>
      <c r="J73" s="60" t="s">
        <v>2211</v>
      </c>
      <c r="K73" s="55" t="s">
        <v>2212</v>
      </c>
      <c r="L73" s="55"/>
      <c r="M73" s="56" t="s">
        <v>2227</v>
      </c>
      <c r="N73" s="211" t="s">
        <v>2228</v>
      </c>
      <c r="O73" s="58" t="s">
        <v>146</v>
      </c>
      <c r="P73" s="58" t="s">
        <v>146</v>
      </c>
      <c r="Q73" s="214" t="s">
        <v>1600</v>
      </c>
      <c r="R73" s="61" t="str">
        <f>VLOOKUP(Sheet_1_Table_1_136[[#This Row],[Learning Domain]],[20]List!$A$7:$B$12,2,0)</f>
        <v>RE</v>
      </c>
      <c r="S73" s="55">
        <v>0</v>
      </c>
      <c r="T73" s="55">
        <v>0</v>
      </c>
      <c r="U73" s="55">
        <v>0</v>
      </c>
      <c r="V73" s="55">
        <v>30</v>
      </c>
      <c r="W73" s="55">
        <v>0</v>
      </c>
      <c r="X73" s="55">
        <v>0</v>
      </c>
      <c r="Y73" s="55">
        <v>70</v>
      </c>
      <c r="Z73" s="55">
        <v>0</v>
      </c>
      <c r="AA73" s="55">
        <v>0</v>
      </c>
      <c r="AB73" s="53">
        <v>100</v>
      </c>
      <c r="AC73" s="52" t="s">
        <v>199</v>
      </c>
      <c r="AD73" s="201" t="s">
        <v>190</v>
      </c>
      <c r="AE73" s="201" t="s">
        <v>142</v>
      </c>
      <c r="AF73" s="201" t="s">
        <v>146</v>
      </c>
      <c r="AG73" s="201" t="s">
        <v>142</v>
      </c>
      <c r="AH73" s="201">
        <v>1</v>
      </c>
      <c r="AI73" s="55">
        <v>15</v>
      </c>
      <c r="AJ73" s="62">
        <f>Sheet_1_Table_1_136[[#This Row],[ILP Units Per Session]]*Sheet_1_Table_1_136[[#This Row],[Quota]]</f>
        <v>15</v>
      </c>
      <c r="AK73" s="203">
        <v>46297</v>
      </c>
      <c r="AL73" s="64">
        <f>WEEKDAY(Sheet_1_Table_1_136[[#This Row],[Lesson 1 
Date 
(DD-MMM-YYYY)]])</f>
        <v>6</v>
      </c>
      <c r="AM73" s="65">
        <v>0.51041666666666663</v>
      </c>
      <c r="AN73" s="65">
        <v>0.55208333333333337</v>
      </c>
      <c r="AO73" s="207" t="s">
        <v>2213</v>
      </c>
      <c r="AP73" s="555"/>
      <c r="AQ73" s="64">
        <f>WEEKDAY(Sheet_1_Table_1_136[[#This Row],[Lesson 2
Date 
(DD-MMM-YYYY)]])</f>
        <v>7</v>
      </c>
      <c r="AR73" s="65"/>
      <c r="AS73" s="66"/>
      <c r="AT73" s="126"/>
      <c r="AU73" s="63"/>
      <c r="AV73" s="64">
        <f>WEEKDAY(Sheet_1_Table_1_136[[#This Row],[Lesson 3
Date 
(DD-MMM-YYYY)]])</f>
        <v>7</v>
      </c>
      <c r="AW73" s="65"/>
      <c r="AX73" s="66"/>
      <c r="AY73" s="126"/>
      <c r="AZ73" s="98"/>
      <c r="BA73" s="64">
        <f>WEEKDAY(Sheet_1_Table_1_136[[#This Row],[Lesson 4
Date 
(DD-MMM-YYYY)]])</f>
        <v>7</v>
      </c>
      <c r="BB73" s="65"/>
      <c r="BC73" s="66"/>
      <c r="BD73" s="126"/>
      <c r="BE73" s="63"/>
      <c r="BF73" s="64">
        <f>WEEKDAY(Sheet_1_Table_1_136[[#This Row],[Lesson 5
Date 
(DD-MMM-YYYY)]])</f>
        <v>7</v>
      </c>
      <c r="BG73" s="65"/>
      <c r="BH73" s="66"/>
      <c r="BI73" s="126"/>
      <c r="BJ73" s="98"/>
      <c r="BK73" s="64">
        <f>WEEKDAY(Sheet_1_Table_1_136[[#This Row],[Lesson 6
Date 
(DD-MMM-YYYY)]])</f>
        <v>7</v>
      </c>
      <c r="BL73" s="65"/>
      <c r="BM73" s="66"/>
      <c r="BN73" s="99"/>
      <c r="BO73" s="208" t="s">
        <v>163</v>
      </c>
      <c r="BP73" s="209" t="s">
        <v>2214</v>
      </c>
      <c r="BQ73" s="201" t="s">
        <v>2215</v>
      </c>
      <c r="BR73" s="211" t="s">
        <v>2216</v>
      </c>
      <c r="BS73" s="52"/>
      <c r="BT73" s="209"/>
      <c r="BU73" s="201"/>
      <c r="BV73" s="70"/>
      <c r="BW73" s="60"/>
      <c r="BX73" s="71"/>
      <c r="BY73" s="210"/>
      <c r="BZ73" s="210"/>
      <c r="CA73" s="55" t="s">
        <v>1735</v>
      </c>
      <c r="CB73" s="212"/>
      <c r="CC73" s="212"/>
      <c r="CD73" s="213"/>
      <c r="CE73" s="214" t="s">
        <v>2217</v>
      </c>
      <c r="CF73" s="464" t="s">
        <v>314</v>
      </c>
      <c r="CG73" s="56"/>
      <c r="CH73" s="57"/>
      <c r="CI73" s="215" t="s">
        <v>146</v>
      </c>
      <c r="CJ73" s="52" t="s">
        <v>142</v>
      </c>
      <c r="CK73" s="52" t="s">
        <v>142</v>
      </c>
      <c r="CL73" s="52" t="s">
        <v>146</v>
      </c>
      <c r="CM73" s="52" t="s">
        <v>142</v>
      </c>
      <c r="CN73" s="52" t="s">
        <v>142</v>
      </c>
      <c r="CO73" s="52" t="s">
        <v>142</v>
      </c>
      <c r="CP73" s="52" t="s">
        <v>142</v>
      </c>
      <c r="CQ73" s="52" t="s">
        <v>142</v>
      </c>
      <c r="CR73" s="52" t="s">
        <v>142</v>
      </c>
      <c r="CS73" s="52" t="s">
        <v>142</v>
      </c>
      <c r="CT73" s="52" t="s">
        <v>142</v>
      </c>
      <c r="CU73" s="52" t="s">
        <v>142</v>
      </c>
      <c r="CV73" s="52" t="s">
        <v>142</v>
      </c>
      <c r="CW73" s="52" t="s">
        <v>142</v>
      </c>
      <c r="CX73" s="52" t="s">
        <v>146</v>
      </c>
      <c r="CY73" s="52" t="s">
        <v>142</v>
      </c>
      <c r="CZ73" s="59" t="s">
        <v>146</v>
      </c>
      <c r="DA73" s="54"/>
      <c r="DB73" s="50"/>
      <c r="DC73" s="50"/>
      <c r="DD73" s="50"/>
      <c r="DE73" s="50"/>
      <c r="DF73" s="50"/>
      <c r="DG73" s="73"/>
      <c r="DH73" s="73"/>
      <c r="DI73" s="73"/>
      <c r="DJ73" s="73"/>
      <c r="DK73" s="76" t="s">
        <v>146</v>
      </c>
      <c r="DL73" s="76" t="s">
        <v>146</v>
      </c>
      <c r="DM73" s="76" t="s">
        <v>146</v>
      </c>
      <c r="DN73" s="790" t="s">
        <v>2237</v>
      </c>
    </row>
    <row r="74" spans="1:118" ht="120">
      <c r="A74" s="48">
        <v>72</v>
      </c>
      <c r="B74" s="579">
        <v>202609</v>
      </c>
      <c r="C74" s="577" t="s">
        <v>2218</v>
      </c>
      <c r="D74" s="577" t="s">
        <v>174</v>
      </c>
      <c r="E74" s="581">
        <v>5986</v>
      </c>
      <c r="F74" s="576" t="s">
        <v>2192</v>
      </c>
      <c r="G74" s="595" t="s">
        <v>1713</v>
      </c>
      <c r="H74" s="297" t="s">
        <v>2193</v>
      </c>
      <c r="I74" s="301" t="s">
        <v>2194</v>
      </c>
      <c r="J74" s="558" t="s">
        <v>2219</v>
      </c>
      <c r="K74" s="562" t="s">
        <v>2220</v>
      </c>
      <c r="L74" s="562"/>
      <c r="M74" s="56" t="s">
        <v>2229</v>
      </c>
      <c r="N74" s="211" t="s">
        <v>2230</v>
      </c>
      <c r="O74" s="78" t="s">
        <v>146</v>
      </c>
      <c r="P74" s="58" t="s">
        <v>146</v>
      </c>
      <c r="Q74" s="214" t="s">
        <v>1600</v>
      </c>
      <c r="R74" s="61" t="str">
        <f>VLOOKUP(Sheet_1_Table_1_136[[#This Row],[Learning Domain]],[20]List!$A$7:$B$12,2,0)</f>
        <v>RE</v>
      </c>
      <c r="S74" s="55">
        <v>0</v>
      </c>
      <c r="T74" s="55">
        <v>0</v>
      </c>
      <c r="U74" s="55">
        <v>0</v>
      </c>
      <c r="V74" s="55">
        <v>40</v>
      </c>
      <c r="W74" s="55">
        <v>0</v>
      </c>
      <c r="X74" s="55">
        <v>20</v>
      </c>
      <c r="Y74" s="55">
        <v>0</v>
      </c>
      <c r="Z74" s="55">
        <v>0</v>
      </c>
      <c r="AA74" s="55">
        <v>40</v>
      </c>
      <c r="AB74" s="53">
        <v>100</v>
      </c>
      <c r="AC74" s="52" t="s">
        <v>144</v>
      </c>
      <c r="AD74" s="55" t="s">
        <v>386</v>
      </c>
      <c r="AE74" s="55" t="s">
        <v>142</v>
      </c>
      <c r="AF74" s="55" t="s">
        <v>146</v>
      </c>
      <c r="AG74" s="55" t="s">
        <v>142</v>
      </c>
      <c r="AH74" s="201">
        <v>1</v>
      </c>
      <c r="AI74" s="55">
        <v>150</v>
      </c>
      <c r="AJ74" s="62">
        <f>Sheet_1_Table_1_136[[#This Row],[ILP Units Per Session]]*Sheet_1_Table_1_136[[#This Row],[Quota]]</f>
        <v>150</v>
      </c>
      <c r="AK74" s="63">
        <v>46310</v>
      </c>
      <c r="AL74" s="64">
        <f>WEEKDAY(Sheet_1_Table_1_136[[#This Row],[Lesson 1 
Date 
(DD-MMM-YYYY)]])</f>
        <v>5</v>
      </c>
      <c r="AM74" s="65">
        <v>0.85416666666666663</v>
      </c>
      <c r="AN74" s="66">
        <v>0.89583333333333337</v>
      </c>
      <c r="AO74" s="67" t="s">
        <v>182</v>
      </c>
      <c r="AP74" s="585"/>
      <c r="AQ74" s="586">
        <f>WEEKDAY(Sheet_1_Table_1_136[[#This Row],[Lesson 2
Date 
(DD-MMM-YYYY)]])</f>
        <v>7</v>
      </c>
      <c r="AR74" s="565"/>
      <c r="AS74" s="583"/>
      <c r="AT74" s="584"/>
      <c r="AU74" s="582"/>
      <c r="AV74" s="586">
        <f>WEEKDAY(Sheet_1_Table_1_136[[#This Row],[Lesson 3
Date 
(DD-MMM-YYYY)]])</f>
        <v>7</v>
      </c>
      <c r="AW74" s="565"/>
      <c r="AX74" s="583"/>
      <c r="AY74" s="584"/>
      <c r="AZ74" s="587"/>
      <c r="BA74" s="586">
        <f>WEEKDAY(Sheet_1_Table_1_136[[#This Row],[Lesson 4
Date 
(DD-MMM-YYYY)]])</f>
        <v>7</v>
      </c>
      <c r="BB74" s="565"/>
      <c r="BC74" s="583"/>
      <c r="BD74" s="584"/>
      <c r="BE74" s="582"/>
      <c r="BF74" s="586">
        <f>WEEKDAY(Sheet_1_Table_1_136[[#This Row],[Lesson 5
Date 
(DD-MMM-YYYY)]])</f>
        <v>7</v>
      </c>
      <c r="BG74" s="565"/>
      <c r="BH74" s="583"/>
      <c r="BI74" s="584"/>
      <c r="BJ74" s="587"/>
      <c r="BK74" s="586">
        <f>WEEKDAY(Sheet_1_Table_1_136[[#This Row],[Lesson 6
Date 
(DD-MMM-YYYY)]])</f>
        <v>7</v>
      </c>
      <c r="BL74" s="565"/>
      <c r="BM74" s="583"/>
      <c r="BN74" s="588"/>
      <c r="BO74" s="54" t="s">
        <v>163</v>
      </c>
      <c r="BP74" s="69" t="s">
        <v>600</v>
      </c>
      <c r="BQ74" s="201" t="s">
        <v>2221</v>
      </c>
      <c r="BR74" s="57" t="s">
        <v>2222</v>
      </c>
      <c r="BS74" s="52"/>
      <c r="BT74" s="69"/>
      <c r="BU74" s="55"/>
      <c r="BV74" s="70"/>
      <c r="BW74" s="60"/>
      <c r="BX74" s="71"/>
      <c r="BY74" s="56"/>
      <c r="BZ74" s="56"/>
      <c r="CA74" s="55" t="s">
        <v>1811</v>
      </c>
      <c r="CB74" s="72"/>
      <c r="CC74" s="72"/>
      <c r="CD74" s="71"/>
      <c r="CE74" s="60" t="s">
        <v>2223</v>
      </c>
      <c r="CF74" s="164" t="s">
        <v>2224</v>
      </c>
      <c r="CG74" s="56"/>
      <c r="CH74" s="57"/>
      <c r="CI74" s="52" t="s">
        <v>142</v>
      </c>
      <c r="CJ74" s="52" t="s">
        <v>142</v>
      </c>
      <c r="CK74" s="52" t="s">
        <v>142</v>
      </c>
      <c r="CL74" s="52" t="s">
        <v>146</v>
      </c>
      <c r="CM74" s="52" t="s">
        <v>146</v>
      </c>
      <c r="CN74" s="52" t="s">
        <v>142</v>
      </c>
      <c r="CO74" s="52" t="s">
        <v>142</v>
      </c>
      <c r="CP74" s="52" t="s">
        <v>142</v>
      </c>
      <c r="CQ74" s="52" t="s">
        <v>142</v>
      </c>
      <c r="CR74" s="52" t="s">
        <v>142</v>
      </c>
      <c r="CS74" s="52" t="s">
        <v>146</v>
      </c>
      <c r="CT74" s="52" t="s">
        <v>146</v>
      </c>
      <c r="CU74" s="52" t="s">
        <v>142</v>
      </c>
      <c r="CV74" s="52" t="s">
        <v>142</v>
      </c>
      <c r="CW74" s="52" t="s">
        <v>142</v>
      </c>
      <c r="CX74" s="52" t="s">
        <v>142</v>
      </c>
      <c r="CY74" s="52" t="s">
        <v>142</v>
      </c>
      <c r="CZ74" s="52" t="s">
        <v>142</v>
      </c>
      <c r="DA74" s="576"/>
      <c r="DB74" s="577"/>
      <c r="DC74" s="577"/>
      <c r="DD74" s="577"/>
      <c r="DE74" s="577"/>
      <c r="DF74" s="577"/>
      <c r="DG74" s="578"/>
      <c r="DH74" s="578"/>
      <c r="DI74" s="578"/>
      <c r="DJ74" s="578"/>
      <c r="DK74" s="76" t="s">
        <v>146</v>
      </c>
      <c r="DL74" s="76" t="s">
        <v>146</v>
      </c>
      <c r="DM74" s="76" t="s">
        <v>146</v>
      </c>
      <c r="DN74" s="790" t="s">
        <v>2237</v>
      </c>
    </row>
    <row r="75" spans="1:118">
      <c r="A75" s="48"/>
    </row>
    <row r="76" spans="1:118">
      <c r="A76" s="48"/>
    </row>
    <row r="77" spans="1:118">
      <c r="A77" s="48"/>
    </row>
    <row r="78" spans="1:118">
      <c r="A78" s="48"/>
    </row>
    <row r="79" spans="1:118">
      <c r="A79" s="48"/>
    </row>
    <row r="80" spans="1:118">
      <c r="A80" s="48"/>
    </row>
    <row r="81" spans="1:1">
      <c r="A81" s="48"/>
    </row>
    <row r="82" spans="1:1">
      <c r="A82" s="48"/>
    </row>
    <row r="83" spans="1:1">
      <c r="A83" s="48"/>
    </row>
    <row r="84" spans="1:1">
      <c r="A84" s="48"/>
    </row>
    <row r="85" spans="1:1">
      <c r="A85" s="48"/>
    </row>
    <row r="86" spans="1:1">
      <c r="A86" s="48"/>
    </row>
    <row r="87" spans="1:1">
      <c r="A87" s="48"/>
    </row>
    <row r="88" spans="1:1">
      <c r="A88" s="48"/>
    </row>
    <row r="89" spans="1:1">
      <c r="A89" s="48"/>
    </row>
    <row r="90" spans="1:1">
      <c r="A90" s="48"/>
    </row>
    <row r="91" spans="1:1">
      <c r="A91" s="48"/>
    </row>
    <row r="92" spans="1:1">
      <c r="A92" s="48"/>
    </row>
    <row r="93" spans="1:1">
      <c r="A93" s="48"/>
    </row>
    <row r="94" spans="1:1">
      <c r="A94" s="48"/>
    </row>
    <row r="95" spans="1:1">
      <c r="A95" s="48"/>
    </row>
    <row r="96" spans="1:1">
      <c r="A96" s="48"/>
    </row>
    <row r="97" spans="1:1">
      <c r="A97" s="48"/>
    </row>
    <row r="98" spans="1:1">
      <c r="A98" s="48"/>
    </row>
    <row r="99" spans="1:1">
      <c r="A99" s="48"/>
    </row>
    <row r="100" spans="1:1">
      <c r="A100" s="48"/>
    </row>
    <row r="101" spans="1:1">
      <c r="A101" s="48"/>
    </row>
    <row r="102" spans="1:1">
      <c r="A102" s="48"/>
    </row>
    <row r="103" spans="1:1">
      <c r="A103" s="48"/>
    </row>
    <row r="104" spans="1:1">
      <c r="A104" s="48"/>
    </row>
    <row r="105" spans="1:1">
      <c r="A105" s="48"/>
    </row>
    <row r="106" spans="1:1">
      <c r="A106" s="48"/>
    </row>
    <row r="107" spans="1:1">
      <c r="A107" s="48"/>
    </row>
    <row r="108" spans="1:1">
      <c r="A108" s="48"/>
    </row>
    <row r="109" spans="1:1">
      <c r="A109" s="48"/>
    </row>
    <row r="110" spans="1:1">
      <c r="A110" s="48"/>
    </row>
    <row r="111" spans="1:1">
      <c r="A111" s="48"/>
    </row>
    <row r="112" spans="1:1">
      <c r="A112" s="48"/>
    </row>
    <row r="113" spans="1:1">
      <c r="A113" s="48"/>
    </row>
    <row r="114" spans="1:1">
      <c r="A114" s="48"/>
    </row>
    <row r="115" spans="1:1">
      <c r="A115" s="48"/>
    </row>
    <row r="116" spans="1:1">
      <c r="A116" s="48"/>
    </row>
    <row r="117" spans="1:1">
      <c r="A117" s="48"/>
    </row>
    <row r="118" spans="1:1">
      <c r="A118" s="48"/>
    </row>
    <row r="119" spans="1:1">
      <c r="A119" s="48"/>
    </row>
    <row r="120" spans="1:1">
      <c r="A120" s="48"/>
    </row>
    <row r="121" spans="1:1">
      <c r="A121" s="48"/>
    </row>
    <row r="122" spans="1:1">
      <c r="A122" s="48"/>
    </row>
    <row r="123" spans="1:1">
      <c r="A123" s="48"/>
    </row>
    <row r="124" spans="1:1">
      <c r="A124" s="48"/>
    </row>
    <row r="125" spans="1:1">
      <c r="A125" s="48"/>
    </row>
    <row r="126" spans="1:1">
      <c r="A126" s="48"/>
    </row>
    <row r="127" spans="1:1">
      <c r="A127" s="48"/>
    </row>
    <row r="128" spans="1:1">
      <c r="A128" s="48"/>
    </row>
    <row r="129" spans="1:1">
      <c r="A129" s="48"/>
    </row>
    <row r="130" spans="1:1">
      <c r="A130" s="48"/>
    </row>
    <row r="131" spans="1:1">
      <c r="A131" s="48"/>
    </row>
    <row r="132" spans="1:1">
      <c r="A132" s="48"/>
    </row>
    <row r="133" spans="1:1">
      <c r="A133" s="48"/>
    </row>
    <row r="134" spans="1:1">
      <c r="A134" s="48"/>
    </row>
    <row r="135" spans="1:1">
      <c r="A135" s="48"/>
    </row>
    <row r="136" spans="1:1">
      <c r="A136" s="48"/>
    </row>
    <row r="137" spans="1:1">
      <c r="A137" s="48"/>
    </row>
    <row r="138" spans="1:1">
      <c r="A138" s="48"/>
    </row>
    <row r="139" spans="1:1">
      <c r="A139" s="48"/>
    </row>
    <row r="140" spans="1:1">
      <c r="A140" s="48"/>
    </row>
    <row r="141" spans="1:1">
      <c r="A141" s="48"/>
    </row>
    <row r="142" spans="1:1">
      <c r="A142" s="48"/>
    </row>
    <row r="143" spans="1:1">
      <c r="A143" s="48"/>
    </row>
    <row r="144" spans="1:1">
      <c r="A144" s="48"/>
    </row>
    <row r="145" spans="1:1">
      <c r="A145" s="48"/>
    </row>
    <row r="146" spans="1:1">
      <c r="A146" s="48"/>
    </row>
    <row r="147" spans="1:1">
      <c r="A147" s="48"/>
    </row>
    <row r="148" spans="1:1">
      <c r="A148" s="48"/>
    </row>
    <row r="149" spans="1:1">
      <c r="A149" s="48"/>
    </row>
    <row r="150" spans="1:1">
      <c r="A150" s="48"/>
    </row>
    <row r="151" spans="1:1">
      <c r="A151" s="48"/>
    </row>
    <row r="152" spans="1:1">
      <c r="A152" s="48"/>
    </row>
    <row r="153" spans="1:1">
      <c r="A153" s="48"/>
    </row>
    <row r="154" spans="1:1">
      <c r="A154" s="48"/>
    </row>
    <row r="155" spans="1:1">
      <c r="A155" s="48"/>
    </row>
    <row r="156" spans="1:1">
      <c r="A156" s="48"/>
    </row>
    <row r="157" spans="1:1">
      <c r="A157" s="48"/>
    </row>
    <row r="158" spans="1:1">
      <c r="A158" s="48"/>
    </row>
    <row r="159" spans="1:1">
      <c r="A159" s="48"/>
    </row>
    <row r="160" spans="1:1">
      <c r="A160" s="48"/>
    </row>
    <row r="161" spans="1:1">
      <c r="A161" s="48"/>
    </row>
    <row r="162" spans="1:1">
      <c r="A162" s="48"/>
    </row>
    <row r="163" spans="1:1">
      <c r="A163" s="48"/>
    </row>
    <row r="164" spans="1:1">
      <c r="A164" s="48"/>
    </row>
    <row r="165" spans="1:1">
      <c r="A165" s="48"/>
    </row>
    <row r="166" spans="1:1">
      <c r="A166" s="48"/>
    </row>
    <row r="167" spans="1:1">
      <c r="A167" s="48"/>
    </row>
    <row r="168" spans="1:1">
      <c r="A168" s="48"/>
    </row>
    <row r="169" spans="1:1">
      <c r="A169" s="48"/>
    </row>
    <row r="170" spans="1:1">
      <c r="A170" s="48"/>
    </row>
    <row r="171" spans="1:1">
      <c r="A171" s="48"/>
    </row>
    <row r="172" spans="1:1">
      <c r="A172" s="48"/>
    </row>
    <row r="173" spans="1:1">
      <c r="A173" s="48"/>
    </row>
    <row r="174" spans="1:1">
      <c r="A174" s="48"/>
    </row>
    <row r="175" spans="1:1">
      <c r="A175" s="48"/>
    </row>
    <row r="176" spans="1:1">
      <c r="A176" s="48"/>
    </row>
    <row r="177" spans="1:1">
      <c r="A177" s="48"/>
    </row>
    <row r="178" spans="1:1">
      <c r="A178" s="48"/>
    </row>
    <row r="179" spans="1:1">
      <c r="A179" s="48"/>
    </row>
    <row r="180" spans="1:1">
      <c r="A180" s="48"/>
    </row>
    <row r="181" spans="1:1">
      <c r="A181" s="48"/>
    </row>
    <row r="182" spans="1:1">
      <c r="A182" s="48"/>
    </row>
    <row r="183" spans="1:1">
      <c r="A183" s="48"/>
    </row>
    <row r="184" spans="1:1">
      <c r="A184" s="48"/>
    </row>
    <row r="185" spans="1:1">
      <c r="A185" s="48"/>
    </row>
    <row r="186" spans="1:1">
      <c r="A186" s="48"/>
    </row>
    <row r="187" spans="1:1">
      <c r="A187" s="48"/>
    </row>
    <row r="188" spans="1:1">
      <c r="A188" s="48"/>
    </row>
    <row r="189" spans="1:1">
      <c r="A189" s="48"/>
    </row>
    <row r="190" spans="1:1">
      <c r="A190" s="48"/>
    </row>
    <row r="191" spans="1:1">
      <c r="A191" s="48"/>
    </row>
  </sheetData>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J53:J57">
    <cfRule type="cellIs" dxfId="55" priority="36" operator="greaterThan">
      <formula>0</formula>
    </cfRule>
  </conditionalFormatting>
  <conditionalFormatting sqref="K3">
    <cfRule type="cellIs" dxfId="54" priority="94" operator="greaterThan">
      <formula>0</formula>
    </cfRule>
  </conditionalFormatting>
  <conditionalFormatting sqref="K19:K22">
    <cfRule type="cellIs" dxfId="53" priority="85" operator="greaterThan">
      <formula>0</formula>
    </cfRule>
  </conditionalFormatting>
  <conditionalFormatting sqref="K23">
    <cfRule type="cellIs" dxfId="52" priority="84" operator="greaterThan">
      <formula>0</formula>
    </cfRule>
  </conditionalFormatting>
  <conditionalFormatting sqref="K24:K35">
    <cfRule type="cellIs" dxfId="51" priority="59" operator="greaterThan">
      <formula>0</formula>
    </cfRule>
  </conditionalFormatting>
  <conditionalFormatting sqref="K36:K40">
    <cfRule type="cellIs" dxfId="50" priority="60" operator="greaterThan">
      <formula>0</formula>
    </cfRule>
  </conditionalFormatting>
  <conditionalFormatting sqref="K46:K49">
    <cfRule type="cellIs" dxfId="49" priority="43" operator="greaterThan">
      <formula>0</formula>
    </cfRule>
  </conditionalFormatting>
  <conditionalFormatting sqref="K51:K61">
    <cfRule type="cellIs" dxfId="48" priority="3" operator="greaterThan">
      <formula>0</formula>
    </cfRule>
  </conditionalFormatting>
  <conditionalFormatting sqref="K65:K74">
    <cfRule type="cellIs" dxfId="47" priority="1" operator="greaterThan">
      <formula>0</formula>
    </cfRule>
  </conditionalFormatting>
  <conditionalFormatting sqref="K4:L5">
    <cfRule type="cellIs" dxfId="46" priority="91" operator="greaterThan">
      <formula>0</formula>
    </cfRule>
  </conditionalFormatting>
  <conditionalFormatting sqref="K62:L64">
    <cfRule type="cellIs" dxfId="45" priority="2" operator="greaterThan">
      <formula>0</formula>
    </cfRule>
  </conditionalFormatting>
  <conditionalFormatting sqref="L20:L23">
    <cfRule type="cellIs" dxfId="44" priority="82" operator="greaterThan">
      <formula>0</formula>
    </cfRule>
  </conditionalFormatting>
  <conditionalFormatting sqref="L41:L44">
    <cfRule type="cellIs" dxfId="43" priority="49" operator="greaterThan">
      <formula>0</formula>
    </cfRule>
  </conditionalFormatting>
  <conditionalFormatting sqref="S3:AA21 S22:W22">
    <cfRule type="cellIs" dxfId="42" priority="79" operator="greaterThan">
      <formula>0</formula>
    </cfRule>
  </conditionalFormatting>
  <conditionalFormatting sqref="S23:AA35">
    <cfRule type="cellIs" dxfId="41" priority="56" operator="greaterThan">
      <formula>0</formula>
    </cfRule>
  </conditionalFormatting>
  <conditionalFormatting sqref="S36:AA40">
    <cfRule type="cellIs" dxfId="40" priority="51" operator="greaterThan">
      <formula>0</formula>
    </cfRule>
  </conditionalFormatting>
  <conditionalFormatting sqref="S41:AA58">
    <cfRule type="cellIs" dxfId="39" priority="28" operator="greaterThan">
      <formula>0</formula>
    </cfRule>
  </conditionalFormatting>
  <conditionalFormatting sqref="S61:AA74">
    <cfRule type="cellIs" dxfId="38" priority="6" operator="greaterThan">
      <formula>0</formula>
    </cfRule>
  </conditionalFormatting>
  <conditionalFormatting sqref="V60">
    <cfRule type="cellIs" dxfId="37" priority="27" operator="greaterThan">
      <formula>0</formula>
    </cfRule>
  </conditionalFormatting>
  <conditionalFormatting sqref="W59:X59">
    <cfRule type="cellIs" dxfId="36" priority="29" operator="greaterThan">
      <formula>0</formula>
    </cfRule>
  </conditionalFormatting>
  <conditionalFormatting sqref="X22:AA22">
    <cfRule type="cellIs" dxfId="35" priority="77" operator="greaterThan">
      <formula>0</formula>
    </cfRule>
  </conditionalFormatting>
  <conditionalFormatting sqref="AB3:AB35">
    <cfRule type="cellIs" dxfId="34" priority="58" operator="equal">
      <formula>100</formula>
    </cfRule>
    <cfRule type="cellIs" dxfId="33" priority="57" operator="notEqual">
      <formula>100</formula>
    </cfRule>
  </conditionalFormatting>
  <conditionalFormatting sqref="AB36:AB40">
    <cfRule type="cellIs" dxfId="32" priority="52" operator="notEqual">
      <formula>100</formula>
    </cfRule>
    <cfRule type="cellIs" dxfId="31" priority="53" operator="equal">
      <formula>100</formula>
    </cfRule>
  </conditionalFormatting>
  <conditionalFormatting sqref="AB41:AB74">
    <cfRule type="cellIs" dxfId="30" priority="33" operator="notEqual">
      <formula>100</formula>
    </cfRule>
    <cfRule type="cellIs" dxfId="29" priority="34" operator="equal">
      <formula>100</formula>
    </cfRule>
  </conditionalFormatting>
  <conditionalFormatting sqref="AE59">
    <cfRule type="containsText" dxfId="28" priority="25" operator="containsText" text="Y">
      <formula>NOT(ISERROR(SEARCH("Y",AE59)))</formula>
    </cfRule>
  </conditionalFormatting>
  <conditionalFormatting sqref="AE3:AG35 CI25:CZ35">
    <cfRule type="containsText" dxfId="27" priority="55" operator="containsText" text="Y">
      <formula>NOT(ISERROR(SEARCH("Y",AE3)))</formula>
    </cfRule>
  </conditionalFormatting>
  <conditionalFormatting sqref="AE36:AG40 CI36:CZ40">
    <cfRule type="containsText" dxfId="26" priority="50" operator="containsText" text="Y">
      <formula>NOT(ISERROR(SEARCH("Y",AE36)))</formula>
    </cfRule>
  </conditionalFormatting>
  <conditionalFormatting sqref="AE41:AG58">
    <cfRule type="containsText" dxfId="25" priority="26" operator="containsText" text="Y">
      <formula>NOT(ISERROR(SEARCH("Y",AE41)))</formula>
    </cfRule>
  </conditionalFormatting>
  <conditionalFormatting sqref="AE61:AG74">
    <cfRule type="containsText" dxfId="24" priority="5" operator="containsText" text="Y">
      <formula>NOT(ISERROR(SEARCH("Y",AE61)))</formula>
    </cfRule>
  </conditionalFormatting>
  <conditionalFormatting sqref="AF60">
    <cfRule type="containsText" dxfId="23" priority="24" operator="containsText" text="Y">
      <formula>NOT(ISERROR(SEARCH("Y",AF60)))</formula>
    </cfRule>
  </conditionalFormatting>
  <conditionalFormatting sqref="AM23:AN23">
    <cfRule type="timePeriod" dxfId="22" priority="74" timePeriod="lastWeek">
      <formula>AND(TODAY()-ROUNDDOWN(AM23,0)&gt;=(WEEKDAY(TODAY())),TODAY()-ROUNDDOWN(AM23,0)&lt;(WEEKDAY(TODAY())+7))</formula>
    </cfRule>
  </conditionalFormatting>
  <conditionalFormatting sqref="CI58 CM59:CM60">
    <cfRule type="containsText" dxfId="21" priority="23" operator="containsText" text="Y">
      <formula>NOT(ISERROR(SEARCH("Y",CI58)))</formula>
    </cfRule>
  </conditionalFormatting>
  <conditionalFormatting sqref="CI60">
    <cfRule type="containsText" dxfId="20" priority="17" operator="containsText" text="Y">
      <formula>NOT(ISERROR(SEARCH("Y",CI60)))</formula>
    </cfRule>
  </conditionalFormatting>
  <conditionalFormatting sqref="CI24:CK24 CM24:CZ24">
    <cfRule type="containsText" dxfId="19" priority="78" operator="containsText" text="Y">
      <formula>NOT(ISERROR(SEARCH("Y",CI24)))</formula>
    </cfRule>
  </conditionalFormatting>
  <conditionalFormatting sqref="CI19:CZ22">
    <cfRule type="containsText" dxfId="18" priority="75" operator="containsText" text="Y">
      <formula>NOT(ISERROR(SEARCH("Y",CI19)))</formula>
    </cfRule>
  </conditionalFormatting>
  <conditionalFormatting sqref="CI23:CZ23">
    <cfRule type="containsText" dxfId="17" priority="73" operator="containsText" text="Y">
      <formula>NOT(ISERROR(SEARCH("Y",CI23)))</formula>
    </cfRule>
  </conditionalFormatting>
  <conditionalFormatting sqref="CI41:CZ57">
    <cfRule type="containsText" dxfId="16" priority="31" operator="containsText" text="Y">
      <formula>NOT(ISERROR(SEARCH("Y",CI41)))</formula>
    </cfRule>
  </conditionalFormatting>
  <conditionalFormatting sqref="CI61:CZ74">
    <cfRule type="containsText" dxfId="15" priority="4" operator="containsText" text="Y">
      <formula>NOT(ISERROR(SEARCH("Y",CI61)))</formula>
    </cfRule>
  </conditionalFormatting>
  <conditionalFormatting sqref="CI3:DB18">
    <cfRule type="containsText" dxfId="14" priority="92" operator="containsText" text="Y">
      <formula>NOT(ISERROR(SEARCH("Y",CI3)))</formula>
    </cfRule>
  </conditionalFormatting>
  <conditionalFormatting sqref="CJ60:CK60 CN60:CW60">
    <cfRule type="containsText" dxfId="13" priority="21" operator="containsText" text="Y">
      <formula>NOT(ISERROR(SEARCH("Y",CJ60)))</formula>
    </cfRule>
  </conditionalFormatting>
  <conditionalFormatting sqref="CJ58:CZ58">
    <cfRule type="containsText" dxfId="12" priority="22" operator="containsText" text="Y">
      <formula>NOT(ISERROR(SEARCH("Y",CJ58)))</formula>
    </cfRule>
  </conditionalFormatting>
  <conditionalFormatting sqref="CL24">
    <cfRule type="containsText" dxfId="11" priority="72" operator="containsText" text="Y">
      <formula>NOT(ISERROR(SEARCH("Y",CL24)))</formula>
    </cfRule>
  </conditionalFormatting>
  <conditionalFormatting sqref="CL60">
    <cfRule type="containsText" dxfId="10" priority="16" operator="containsText" text="Y">
      <formula>NOT(ISERROR(SEARCH("Y",CL60)))</formula>
    </cfRule>
  </conditionalFormatting>
  <conditionalFormatting sqref="CX60">
    <cfRule type="containsText" dxfId="9" priority="20" operator="containsText" text="Y">
      <formula>NOT(ISERROR(SEARCH("Y",CX60)))</formula>
    </cfRule>
  </conditionalFormatting>
  <conditionalFormatting sqref="CY60">
    <cfRule type="containsText" dxfId="8" priority="19" operator="containsText" text="Y">
      <formula>NOT(ISERROR(SEARCH("Y",CY60)))</formula>
    </cfRule>
  </conditionalFormatting>
  <conditionalFormatting sqref="CZ60">
    <cfRule type="containsText" dxfId="7" priority="18" operator="containsText" text="Y">
      <formula>NOT(ISERROR(SEARCH("Y",CZ60)))</formula>
    </cfRule>
  </conditionalFormatting>
  <conditionalFormatting sqref="DA19:DA22">
    <cfRule type="containsText" dxfId="6" priority="89" operator="containsText" text="Y">
      <formula>NOT(ISERROR(SEARCH("Y",DA19)))</formula>
    </cfRule>
  </conditionalFormatting>
  <conditionalFormatting sqref="DA23">
    <cfRule type="containsText" dxfId="5" priority="88" operator="containsText" text="Y">
      <formula>NOT(ISERROR(SEARCH("Y",DA23)))</formula>
    </cfRule>
  </conditionalFormatting>
  <conditionalFormatting sqref="DA24:DA26">
    <cfRule type="containsText" dxfId="4" priority="90" operator="containsText" text="Y">
      <formula>NOT(ISERROR(SEARCH("Y",DA24)))</formula>
    </cfRule>
  </conditionalFormatting>
  <conditionalFormatting sqref="DI3:DJ35">
    <cfRule type="containsText" dxfId="3" priority="97" operator="containsText" text="Y">
      <formula>NOT(ISERROR(SEARCH("Y",DI3)))</formula>
    </cfRule>
  </conditionalFormatting>
  <conditionalFormatting sqref="DI36:DJ40">
    <cfRule type="containsText" dxfId="2" priority="54" operator="containsText" text="Y">
      <formula>NOT(ISERROR(SEARCH("Y",DI36)))</formula>
    </cfRule>
  </conditionalFormatting>
  <conditionalFormatting sqref="DI41:DJ53">
    <cfRule type="containsText" dxfId="1" priority="46" operator="containsText" text="Y">
      <formula>NOT(ISERROR(SEARCH("Y",DI41)))</formula>
    </cfRule>
  </conditionalFormatting>
  <conditionalFormatting sqref="DI61:DJ70">
    <cfRule type="containsText" dxfId="0" priority="9" operator="containsText" text="Y">
      <formula>NOT(ISERROR(SEARCH("Y",DI61)))</formula>
    </cfRule>
  </conditionalFormatting>
  <hyperlinks>
    <hyperlink ref="CF22" r:id="rId1" xr:uid="{D1048FEF-FA3F-4E79-82F9-3CA8F1B0A2AB}"/>
    <hyperlink ref="CF23" r:id="rId2" xr:uid="{DBFB3418-D1A2-45C1-BBD3-0D3E9349754E}"/>
    <hyperlink ref="CH23" r:id="rId3" xr:uid="{DC75CA1F-D302-4C43-80F5-D140A77EC9E7}"/>
    <hyperlink ref="CF26" r:id="rId4" xr:uid="{7A80A634-B256-4ABD-94E9-E749AAB53042}"/>
    <hyperlink ref="CF19" r:id="rId5" xr:uid="{3A182A1A-794D-4639-B03B-E56AE8BF20AA}"/>
    <hyperlink ref="CF28" r:id="rId6" xr:uid="{A6671C95-69C2-4A91-BB07-F12A6FE96D9B}"/>
    <hyperlink ref="CF29" r:id="rId7" xr:uid="{5BA83477-2602-4073-9264-66F5A5136411}"/>
    <hyperlink ref="CF30" r:id="rId8" xr:uid="{7A0C3579-8C0B-42BE-AEEC-F771DAE3CE4B}"/>
    <hyperlink ref="CF32" r:id="rId9" xr:uid="{DDDED4D9-CE74-412F-8D29-3CEAB49EF356}"/>
    <hyperlink ref="CF31" r:id="rId10" xr:uid="{F2AB48C4-E04E-459D-A1EB-655E645E9259}"/>
    <hyperlink ref="CF27" r:id="rId11" xr:uid="{3349896D-62D8-41F6-8D3A-9177C103B2BE}"/>
    <hyperlink ref="CF35" r:id="rId12" xr:uid="{316E478D-E6CE-4255-ACDB-BAB6A358266D}"/>
    <hyperlink ref="CF34" r:id="rId13" xr:uid="{091F43F1-61AA-49D4-9409-08F9946B7C96}"/>
    <hyperlink ref="CH34" r:id="rId14" xr:uid="{64CD01E7-0779-40B6-B3CF-3B0273D05289}"/>
    <hyperlink ref="CH35" r:id="rId15" xr:uid="{9C2C7BF1-1642-440F-B132-68E9655A9CC1}"/>
    <hyperlink ref="CF33" r:id="rId16" xr:uid="{A9F4AFA6-8EB0-439E-AE8C-0952CE081939}"/>
    <hyperlink ref="CH33" r:id="rId17" xr:uid="{179F5A43-0EFC-4EF8-9EE7-15286496DF9F}"/>
    <hyperlink ref="CF36" r:id="rId18" xr:uid="{1E0C9F37-74AB-441C-8121-434528F4803C}"/>
    <hyperlink ref="CF37:CF40" r:id="rId19" display="zhongxuanjiao@ln.edu.hk" xr:uid="{E3848852-52AC-4F37-818D-5E1B0C2D207E}"/>
    <hyperlink ref="CF37" r:id="rId20" xr:uid="{E98BC51B-BD6C-42FA-AD23-ADE05867CF02}"/>
    <hyperlink ref="CF40" r:id="rId21" xr:uid="{BB60544E-652D-4819-AEE5-E17F7AF7CCD8}"/>
    <hyperlink ref="CF42" r:id="rId22" xr:uid="{24FD7DF6-6DC9-46BB-831F-95F82D4FCEE4}"/>
    <hyperlink ref="CF41" r:id="rId23" xr:uid="{01A2FE16-12C0-4A16-A9CA-D28879A4C05F}"/>
    <hyperlink ref="CF43" r:id="rId24" xr:uid="{903F7803-6BEC-4B3A-A161-A5BC6A77372C}"/>
    <hyperlink ref="CF45" r:id="rId25" xr:uid="{DE0C85AB-3D09-47D2-8FE0-EE4E55CB3982}"/>
    <hyperlink ref="CB43" r:id="rId26" xr:uid="{33137592-AE18-46D7-807D-99E3F0ABFD40}"/>
    <hyperlink ref="CB44" r:id="rId27" xr:uid="{DC500C8C-E393-492C-8E91-C6B9631F22A4}"/>
    <hyperlink ref="CF47" r:id="rId28" xr:uid="{E3F05646-B9E2-418B-ABC6-DD45C083C189}"/>
    <hyperlink ref="CF49" r:id="rId29" xr:uid="{8A00D2F9-CED4-4605-93DB-2A14AF6532E1}"/>
    <hyperlink ref="CF48" r:id="rId30" xr:uid="{8AE8DB1D-A0B2-4410-89EB-E1C99DEFBD72}"/>
    <hyperlink ref="CF50" r:id="rId31" xr:uid="{CEC204E9-6D82-4B89-BDAE-775594E81363}"/>
    <hyperlink ref="CF46" r:id="rId32" xr:uid="{057AA5DA-4B90-4A65-A40F-F11CDA1624C3}"/>
    <hyperlink ref="CF51" r:id="rId33" xr:uid="{2936297A-6F3B-42B7-9B7D-4AD5A9FEA99D}"/>
    <hyperlink ref="CF52" r:id="rId34" xr:uid="{0FF57124-B315-4C99-850B-DA5362135B4C}"/>
    <hyperlink ref="CF56" r:id="rId35" xr:uid="{2C7C682E-084B-45C9-96A4-41EEC36EC290}"/>
    <hyperlink ref="CF55" r:id="rId36" xr:uid="{9EF0FA08-4E97-455A-AAD2-1D45C0B532A5}"/>
    <hyperlink ref="CF53" r:id="rId37" xr:uid="{A16FB0B3-52BF-4AFD-B306-6AA6E7F01034}"/>
    <hyperlink ref="CF54" r:id="rId38" xr:uid="{8897E445-42DD-4802-B08A-6A4E1DEF8F80}"/>
    <hyperlink ref="CF57" r:id="rId39" xr:uid="{3E082D00-9552-4D1E-BDA9-B821D1FF0671}"/>
    <hyperlink ref="CF60" r:id="rId40" xr:uid="{9FCF7E16-773D-4FB6-BBD6-39C5FD16B5A6}"/>
    <hyperlink ref="CF59" r:id="rId41" xr:uid="{58630E2F-CE71-449E-849F-9817165794E9}"/>
    <hyperlink ref="CF58" r:id="rId42" xr:uid="{FA27EE8B-390A-45AB-BF2D-E1CA34210A65}"/>
    <hyperlink ref="CF66" r:id="rId43" xr:uid="{F6D971FF-F08E-4BCD-A218-CB05BCF95E55}"/>
    <hyperlink ref="CH66" r:id="rId44" xr:uid="{D0AC7A3A-AFF6-4F02-8E34-DB76CBEFCFFA}"/>
    <hyperlink ref="CF69" r:id="rId45" xr:uid="{12134EE7-8313-4C17-B16A-C94F9DD0987D}"/>
    <hyperlink ref="CH69" r:id="rId46" xr:uid="{2EF7D5A0-CC0D-4944-824E-FA532F48DB7B}"/>
    <hyperlink ref="CF68" r:id="rId47" xr:uid="{62378298-F4EB-4871-B7D2-A28871F197F7}"/>
    <hyperlink ref="CH68" r:id="rId48" xr:uid="{E59F9D05-84FC-4B92-8A7F-B03FC67A6384}"/>
    <hyperlink ref="CF67" r:id="rId49" xr:uid="{903F9219-346E-4254-8797-730072573447}"/>
    <hyperlink ref="CF61" r:id="rId50" xr:uid="{8BC4B6DD-8F08-409B-9CD3-34B296D80E81}"/>
    <hyperlink ref="CF62" r:id="rId51" xr:uid="{E1B96F6D-DA70-4EC4-A074-F6DF140921D6}"/>
    <hyperlink ref="CF63" r:id="rId52" xr:uid="{8ACC6977-D02B-4B57-81DA-EB4C2C21D3A3}"/>
    <hyperlink ref="CF65" r:id="rId53" xr:uid="{480296F4-B28D-4102-9718-7776933BF942}"/>
    <hyperlink ref="CF70" r:id="rId54" xr:uid="{D59A6DA4-AEF0-4E3F-A301-F5E89257CDD4}"/>
    <hyperlink ref="CH65" r:id="rId55" xr:uid="{17F2653D-EDF0-4498-A678-CA8906281A7F}"/>
    <hyperlink ref="CH70" r:id="rId56" xr:uid="{8C996692-E5CE-419C-9FFF-FAC6410127D9}"/>
    <hyperlink ref="CF64" r:id="rId57" xr:uid="{A869DBB5-42A7-44A6-B35F-4DEE13CC9E26}"/>
    <hyperlink ref="CH64" r:id="rId58" xr:uid="{55FAA06F-3C26-4F9E-8124-786A9830EE2E}"/>
    <hyperlink ref="CF72" r:id="rId59" xr:uid="{F29262CF-670A-4A3D-AB03-04B08BF77FA0}"/>
    <hyperlink ref="CF73" r:id="rId60" xr:uid="{E57B1588-3E08-4FB9-974A-588D9245916E}"/>
    <hyperlink ref="CF74" r:id="rId61" xr:uid="{217D133D-1053-4C27-8E07-3FA3D8D74C11}"/>
    <hyperlink ref="CF71" r:id="rId62" xr:uid="{6A6ED1AB-C7FD-48A9-B20A-588BA006EECC}"/>
  </hyperlinks>
  <pageMargins left="0.7" right="0.7" top="0.75" bottom="0.75" header="0.3" footer="0.3"/>
  <pageSetup paperSize="9" scale="27" fitToWidth="0" orientation="portrait" r:id="rId63"/>
  <tableParts count="1">
    <tablePart r:id="rId6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2DFE207F5FA2C24088AFB5A4CE089F74" ma:contentTypeVersion="6" ma:contentTypeDescription="Create a new document." ma:contentTypeScope="" ma:versionID="d965bb822ea4ac1bf8a758675da010a9">
  <xsd:schema xmlns:xsd="http://www.w3.org/2001/XMLSchema" xmlns:xs="http://www.w3.org/2001/XMLSchema" xmlns:p="http://schemas.microsoft.com/office/2006/metadata/properties" xmlns:ns2="61d63cda-4e54-425b-a3e5-a51307212039" xmlns:ns3="f916db7e-b6f9-474f-b9b7-487b98f35499" targetNamespace="http://schemas.microsoft.com/office/2006/metadata/properties" ma:root="true" ma:fieldsID="f0a5833d32e5cc763d349ad6cf4ba4f9" ns2:_="" ns3:_="">
    <xsd:import namespace="61d63cda-4e54-425b-a3e5-a51307212039"/>
    <xsd:import namespace="f916db7e-b6f9-474f-b9b7-487b98f3549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d63cda-4e54-425b-a3e5-a513072120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16db7e-b6f9-474f-b9b7-487b98f3549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EFE96A-5B1F-4761-A990-DE8CFE728AA9}">
  <ds:schemaRefs>
    <ds:schemaRef ds:uri="http://purl.org/dc/dcmitype/"/>
    <ds:schemaRef ds:uri="f916db7e-b6f9-474f-b9b7-487b98f35499"/>
    <ds:schemaRef ds:uri="http://schemas.microsoft.com/office/2006/documentManagement/types"/>
    <ds:schemaRef ds:uri="http://schemas.microsoft.com/office/2006/metadata/properties"/>
    <ds:schemaRef ds:uri="http://schemas.microsoft.com/office/infopath/2007/PartnerControls"/>
    <ds:schemaRef ds:uri="http://purl.org/dc/terms/"/>
    <ds:schemaRef ds:uri="61d63cda-4e54-425b-a3e5-a51307212039"/>
    <ds:schemaRef ds:uri="http://purl.org/dc/elements/1.1/"/>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46265BCC-E303-4D4D-AAFB-22B6861EEB55}">
  <ds:schemaRefs>
    <ds:schemaRef ds:uri="http://schemas.microsoft.com/DataMashup"/>
  </ds:schemaRefs>
</ds:datastoreItem>
</file>

<file path=customXml/itemProps3.xml><?xml version="1.0" encoding="utf-8"?>
<ds:datastoreItem xmlns:ds="http://schemas.openxmlformats.org/officeDocument/2006/customXml" ds:itemID="{6838196E-603A-4753-BD9D-C103F15B88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d63cda-4e54-425b-a3e5-a51307212039"/>
    <ds:schemaRef ds:uri="f916db7e-b6f9-474f-b9b7-487b98f354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99D92D2-8D71-44F6-82D8-EF9D32B5960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CELD</vt:lpstr>
      <vt:lpstr>IED</vt:lpstr>
      <vt:lpstr>PFW</vt:lpstr>
      <vt:lpstr>SEW</vt:lpstr>
      <vt:lpstr>AES</vt:lpstr>
      <vt:lpstr>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CHAN Hoi Yi Kristy (OSA)</dc:creator>
  <cp:keywords/>
  <dc:description/>
  <cp:lastModifiedBy>CHAN Hoi Yi Kristy (OSA)</cp:lastModifiedBy>
  <cp:revision/>
  <dcterms:created xsi:type="dcterms:W3CDTF">2026-08-27T02:00:52Z</dcterms:created>
  <dcterms:modified xsi:type="dcterms:W3CDTF">2026-10-06T03:45:41Z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c7ce0bc-1ec2-41cb-8ddc-b020b80710b7_Enabled">
    <vt:lpwstr>true</vt:lpwstr>
  </property>
  <property fmtid="{D5CDD505-2E9C-101B-9397-08002B2CF9AE}" pid="3" name="MSIP_Label_0c7ce0bc-1ec2-41cb-8ddc-b020b80710b7_SetDate">
    <vt:lpwstr>2026-08-27T02:35:41Z</vt:lpwstr>
  </property>
  <property fmtid="{D5CDD505-2E9C-101B-9397-08002B2CF9AE}" pid="4" name="MSIP_Label_0c7ce0bc-1ec2-41cb-8ddc-b020b80710b7_Method">
    <vt:lpwstr>Standard</vt:lpwstr>
  </property>
  <property fmtid="{D5CDD505-2E9C-101B-9397-08002B2CF9AE}" pid="5" name="MSIP_Label_0c7ce0bc-1ec2-41cb-8ddc-b020b80710b7_Name">
    <vt:lpwstr>Restricted (Internal data)</vt:lpwstr>
  </property>
  <property fmtid="{D5CDD505-2E9C-101B-9397-08002B2CF9AE}" pid="6" name="MSIP_Label_0c7ce0bc-1ec2-41cb-8ddc-b020b80710b7_SiteId">
    <vt:lpwstr>fe90179d-8207-4cb2-8834-0ce27ee0162d</vt:lpwstr>
  </property>
  <property fmtid="{D5CDD505-2E9C-101B-9397-08002B2CF9AE}" pid="7" name="MSIP_Label_0c7ce0bc-1ec2-41cb-8ddc-b020b80710b7_ActionId">
    <vt:lpwstr>47f96fd5-ba95-43ec-a151-c26ef36eae3c</vt:lpwstr>
  </property>
  <property fmtid="{D5CDD505-2E9C-101B-9397-08002B2CF9AE}" pid="8" name="MSIP_Label_0c7ce0bc-1ec2-41cb-8ddc-b020b80710b7_ContentBits">
    <vt:lpwstr>0</vt:lpwstr>
  </property>
  <property fmtid="{D5CDD505-2E9C-101B-9397-08002B2CF9AE}" pid="9" name="MSIP_Label_0c7ce0bc-1ec2-41cb-8ddc-b020b80710b7_Tag">
    <vt:lpwstr>10, 3, 0, 1</vt:lpwstr>
  </property>
  <property fmtid="{D5CDD505-2E9C-101B-9397-08002B2CF9AE}" pid="10" name="ContentTypeId">
    <vt:lpwstr>0x0101002DFE207F5FA2C24088AFB5A4CE089F74</vt:lpwstr>
  </property>
</Properties>
</file>